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172" yWindow="6533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<sst xmlns="http://schemas.openxmlformats.org/spreadsheetml/2006/main" count="163" uniqueCount="112">
  <si>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</si>
  <si>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</si>
  <si>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</si>
  <si>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</si>
  <si>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</si>
  <si>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</si>
  <si>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</si>
  <si>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</si>
  <si>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</si>
  <si>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</si>
  <si>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</si>
  <si>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</si>
  <si>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</si>
  <si>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</si>
  <si>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</si>
  <si>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</si>
  <si>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</si>
  <si>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</si>
  <si>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</si>
  <si>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</si>
  <si>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</si>
  <si>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</si>
  <si>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</si>
  <si>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</si>
  <si>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</si>
  <si>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</si>
  <si>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</si>
  <si>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</si>
  <si>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</si>
  <si>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</si>
  <si>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</si>
  <si>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</si>
  <si>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</si>
  <si>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</si>
  <si>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</si>
  <si>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</si>
  <si>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</si>
  <si>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</si>
  <si>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</si>
  <si>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</si>
  <si>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</si>
  <si>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</si>
  <si>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</si>
  <si>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</si>
  <si>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</si>
  <si>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</si>
  <si>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</si>
  <si>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</si>
  <si>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</si>
  <si>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</si>
  <si>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</si>
  <si>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</si>
  <si>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</si>
  <si>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</si>
  <si>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</si>
  <si>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</si>
  <si>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</si>
  <si>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</si>
  <si>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</si>
  <si>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</si>
  <si>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</si>
  <si>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</si>
  <si>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</si>
  <si>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</si>
  <si>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</si>
  <si>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</si>
  <si>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</si>
  <si>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</si>
  <si>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</si>
  <si>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</si>
  <si>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</si>
  <si>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</si>
  <si>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</si>
  <si>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</si>
  <si>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</si>
  <si>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</si>
  <si>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</si>
  <si>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</si>
  <si>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</si>
  <si>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</si>
  <si>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</si>
  <si>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</si>
  <si>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</si>
  <si>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</si>
  <si>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</si>
  <si>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</si>
  <si>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</si>
  <si>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</si>
  <si>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</si>
  <si>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</si>
  <si>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</si>
  <si>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</si>
  <si>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</si>
  <si>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</si>
  <si>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</si>
  <si>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</si>
  <si>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</si>
  <si>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</si>
  <si>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</si>
  <si>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</si>
  <si>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</si>
  <si>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</si>
  <si>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</si>
  <si>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</si>
  <si>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</si>
  <si>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</si>
  <si>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</si>
  <si>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</si>
  <si>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</si>
  <si>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</si>
  <si>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</si>
  <si>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27.12.2017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</si>
</sst>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575"/>
          <c:w val="0.855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155575.90000000002</c:v>
                </c:pt>
                <c:pt idx="1">
                  <c:v>144144.5</c:v>
                </c:pt>
                <c:pt idx="2">
                  <c:v>2495.1</c:v>
                </c:pt>
                <c:pt idx="3">
                  <c:v>8936.300000000023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153248.39999999997</c:v>
                </c:pt>
                <c:pt idx="1">
                  <c:v>142825.80000000005</c:v>
                </c:pt>
                <c:pt idx="2">
                  <c:v>2296.2000000000003</c:v>
                </c:pt>
                <c:pt idx="3">
                  <c:v>8126.399999999918</c:v>
                </c:pt>
              </c:numCache>
            </c:numRef>
          </c:val>
          <c:shape val="box"/>
        </c:ser>
        <c:shape val="box"/>
        <c:axId val="5175782"/>
        <c:axId val="46582039"/>
      </c:bar3DChart>
      <c:catAx>
        <c:axId val="517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647584.1</c:v>
                </c:pt>
                <c:pt idx="1">
                  <c:v>245559.4</c:v>
                </c:pt>
                <c:pt idx="2">
                  <c:v>500856.10000000003</c:v>
                </c:pt>
                <c:pt idx="3">
                  <c:v>91.3</c:v>
                </c:pt>
                <c:pt idx="4">
                  <c:v>34392.4</c:v>
                </c:pt>
                <c:pt idx="5">
                  <c:v>75722.29999999999</c:v>
                </c:pt>
                <c:pt idx="6">
                  <c:v>12822</c:v>
                </c:pt>
                <c:pt idx="7">
                  <c:v>23699.99999999997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626575.0000000001</c:v>
                </c:pt>
                <c:pt idx="1">
                  <c:v>232156.80000000002</c:v>
                </c:pt>
                <c:pt idx="2">
                  <c:v>487795.6999999999</c:v>
                </c:pt>
                <c:pt idx="3">
                  <c:v>87.10000000000001</c:v>
                </c:pt>
                <c:pt idx="4">
                  <c:v>33812.399999999994</c:v>
                </c:pt>
                <c:pt idx="5">
                  <c:v>70300.1</c:v>
                </c:pt>
                <c:pt idx="6">
                  <c:v>11881.899999999992</c:v>
                </c:pt>
                <c:pt idx="7">
                  <c:v>22697.80000000022</c:v>
                </c:pt>
              </c:numCache>
            </c:numRef>
          </c:val>
          <c:shape val="box"/>
        </c:ser>
        <c:shape val="box"/>
        <c:axId val="16585168"/>
        <c:axId val="15048785"/>
      </c:bar3D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85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381441.2</c:v>
                </c:pt>
                <c:pt idx="1">
                  <c:v>244168.19999999998</c:v>
                </c:pt>
                <c:pt idx="2">
                  <c:v>381441.2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377707.9</c:v>
                </c:pt>
                <c:pt idx="1">
                  <c:v>242171.0000000001</c:v>
                </c:pt>
                <c:pt idx="2">
                  <c:v>377707.9</c:v>
                </c:pt>
              </c:numCache>
            </c:numRef>
          </c:val>
          <c:shape val="box"/>
        </c:ser>
        <c:shape val="box"/>
        <c:axId val="1221338"/>
        <c:axId val="10992043"/>
      </c:bar3D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92043"/>
        <c:crosses val="autoZero"/>
        <c:auto val="1"/>
        <c:lblOffset val="100"/>
        <c:tickLblSkip val="1"/>
        <c:noMultiLvlLbl val="0"/>
      </c:catAx>
      <c:valAx>
        <c:axId val="10992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3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63290.7</c:v>
                </c:pt>
                <c:pt idx="1">
                  <c:v>51048.19999999999</c:v>
                </c:pt>
                <c:pt idx="2">
                  <c:v>2989.2000000000003</c:v>
                </c:pt>
                <c:pt idx="3">
                  <c:v>942.1</c:v>
                </c:pt>
                <c:pt idx="4">
                  <c:v>80.8</c:v>
                </c:pt>
                <c:pt idx="5">
                  <c:v>8230.400000000007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62697.89999999998</c:v>
                </c:pt>
                <c:pt idx="1">
                  <c:v>50820.900000000016</c:v>
                </c:pt>
                <c:pt idx="2">
                  <c:v>2848</c:v>
                </c:pt>
                <c:pt idx="3">
                  <c:v>899.7999999999998</c:v>
                </c:pt>
                <c:pt idx="4">
                  <c:v>80.80000000000001</c:v>
                </c:pt>
                <c:pt idx="5">
                  <c:v>8048.399999999963</c:v>
                </c:pt>
              </c:numCache>
            </c:numRef>
          </c:val>
          <c:shape val="box"/>
        </c:ser>
        <c:shape val="box"/>
        <c:axId val="31819524"/>
        <c:axId val="17940261"/>
      </c:bar3D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40261"/>
        <c:crosses val="autoZero"/>
        <c:auto val="1"/>
        <c:lblOffset val="100"/>
        <c:tickLblSkip val="1"/>
        <c:noMultiLvlLbl val="0"/>
      </c:catAx>
      <c:valAx>
        <c:axId val="17940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19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25628.999999999996</c:v>
                </c:pt>
                <c:pt idx="1">
                  <c:v>15239.8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1218.9</c:v>
                </c:pt>
                <c:pt idx="6">
                  <c:v>7284.399999999996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25024.199999999997</c:v>
                </c:pt>
                <c:pt idx="1">
                  <c:v>15147.400000000003</c:v>
                </c:pt>
                <c:pt idx="2">
                  <c:v>11.4</c:v>
                </c:pt>
                <c:pt idx="3">
                  <c:v>734.5999999999999</c:v>
                </c:pt>
                <c:pt idx="4">
                  <c:v>871.7</c:v>
                </c:pt>
                <c:pt idx="5">
                  <c:v>1180</c:v>
                </c:pt>
                <c:pt idx="6">
                  <c:v>7079.099999999993</c:v>
                </c:pt>
              </c:numCache>
            </c:numRef>
          </c:val>
          <c:shape val="box"/>
        </c:ser>
        <c:shape val="box"/>
        <c:axId val="27244622"/>
        <c:axId val="43875007"/>
      </c:bar3DChart>
      <c:catAx>
        <c:axId val="2724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75007"/>
        <c:crosses val="autoZero"/>
        <c:auto val="1"/>
        <c:lblOffset val="100"/>
        <c:tickLblSkip val="2"/>
        <c:noMultiLvlLbl val="0"/>
      </c:catAx>
      <c:valAx>
        <c:axId val="43875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44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4652.4</c:v>
                </c:pt>
                <c:pt idx="1">
                  <c:v>2572.1000000000004</c:v>
                </c:pt>
                <c:pt idx="2">
                  <c:v>340.30000000000007</c:v>
                </c:pt>
                <c:pt idx="3">
                  <c:v>412.90000000000003</c:v>
                </c:pt>
                <c:pt idx="4">
                  <c:v>583.6999999999999</c:v>
                </c:pt>
                <c:pt idx="5">
                  <c:v>743.3999999999993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4563.6</c:v>
                </c:pt>
                <c:pt idx="1">
                  <c:v>2572.1000000000004</c:v>
                </c:pt>
                <c:pt idx="2">
                  <c:v>337</c:v>
                </c:pt>
                <c:pt idx="3">
                  <c:v>412.9</c:v>
                </c:pt>
                <c:pt idx="4">
                  <c:v>549</c:v>
                </c:pt>
                <c:pt idx="5">
                  <c:v>692.5999999999999</c:v>
                </c:pt>
              </c:numCache>
            </c:numRef>
          </c:val>
          <c:shape val="box"/>
        </c:ser>
        <c:shape val="box"/>
        <c:axId val="59330744"/>
        <c:axId val="64214649"/>
      </c:bar3D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0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625"/>
          <c:w val="0.85425"/>
          <c:h val="0.70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59996.6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59623.600000000006</c:v>
                </c:pt>
              </c:numCache>
            </c:numRef>
          </c:val>
          <c:shape val="box"/>
        </c:ser>
        <c:shape val="box"/>
        <c:axId val="41060930"/>
        <c:axId val="34004051"/>
      </c:bar3D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004051"/>
        <c:crosses val="autoZero"/>
        <c:auto val="1"/>
        <c:lblOffset val="100"/>
        <c:tickLblSkip val="1"/>
        <c:noMultiLvlLbl val="0"/>
      </c:catAx>
      <c:valAx>
        <c:axId val="34004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647584.1</c:v>
                </c:pt>
                <c:pt idx="1">
                  <c:v>381441.2</c:v>
                </c:pt>
                <c:pt idx="2">
                  <c:v>63290.7</c:v>
                </c:pt>
                <c:pt idx="3">
                  <c:v>25628.999999999996</c:v>
                </c:pt>
                <c:pt idx="4">
                  <c:v>4652.4</c:v>
                </c:pt>
                <c:pt idx="5">
                  <c:v>155575.90000000002</c:v>
                </c:pt>
                <c:pt idx="6">
                  <c:v>59996.6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626575.0000000001</c:v>
                </c:pt>
                <c:pt idx="1">
                  <c:v>377707.9</c:v>
                </c:pt>
                <c:pt idx="2">
                  <c:v>62697.89999999998</c:v>
                </c:pt>
                <c:pt idx="3">
                  <c:v>25024.199999999997</c:v>
                </c:pt>
                <c:pt idx="4">
                  <c:v>4563.6</c:v>
                </c:pt>
                <c:pt idx="5">
                  <c:v>153248.39999999997</c:v>
                </c:pt>
                <c:pt idx="6">
                  <c:v>59623.600000000006</c:v>
                </c:pt>
              </c:numCache>
            </c:numRef>
          </c:val>
          <c:shape val="box"/>
        </c:ser>
        <c:shape val="box"/>
        <c:axId val="37601004"/>
        <c:axId val="2864717"/>
      </c:bar3D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1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8375"/>
          <c:w val="0.84125"/>
          <c:h val="0.514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726218.6</c:v>
                </c:pt>
                <c:pt idx="1">
                  <c:v>97796.19999999998</c:v>
                </c:pt>
                <c:pt idx="2">
                  <c:v>35617.3</c:v>
                </c:pt>
                <c:pt idx="3">
                  <c:v>23518.500000000004</c:v>
                </c:pt>
                <c:pt idx="4">
                  <c:v>105.7</c:v>
                </c:pt>
                <c:pt idx="5">
                  <c:v>1041553.9000000001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711509.6999999998</c:v>
                </c:pt>
                <c:pt idx="1">
                  <c:v>90042.79999999999</c:v>
                </c:pt>
                <c:pt idx="2">
                  <c:v>34947.19999999999</c:v>
                </c:pt>
                <c:pt idx="3">
                  <c:v>21118.799999999992</c:v>
                </c:pt>
                <c:pt idx="4">
                  <c:v>99.30000000000001</c:v>
                </c:pt>
                <c:pt idx="5">
                  <c:v>1013381.8999999999</c:v>
                </c:pt>
              </c:numCache>
            </c:numRef>
          </c:val>
          <c:shape val="box"/>
        </c:ser>
        <c:shape val="box"/>
        <c:axId val="25782454"/>
        <c:axId val="30715495"/>
      </c:bar3DChart>
      <c:catAx>
        <c:axId val="2578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15495"/>
        <c:crosses val="autoZero"/>
        <c:auto val="1"/>
        <c:lblOffset val="100"/>
        <c:tickLblSkip val="1"/>
        <c:noMultiLvlLbl val="0"/>
      </c:catAx>
      <c:valAx>
        <c:axId val="30715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8" sqref="I8"/>
    </sheetView>
  </sheetViews>
  <sheetFormatPr defaultColWidth="9.125" defaultRowHeight="12.75"/>
  <cols>
    <col min="1" max="1" width="66.875" style="26" customWidth="1"/>
    <col min="2" max="2" width="19.00390625" style="26" hidden="1" customWidth="1"/>
    <col min="3" max="3" width="18.50390625" style="11" customWidth="1"/>
    <col min="4" max="4" width="19.00390625" style="11" customWidth="1"/>
    <col min="5" max="5" width="17.375" style="11" customWidth="1"/>
    <col min="6" max="6" width="19.50390625" style="11" hidden="1" customWidth="1"/>
    <col min="7" max="7" width="19.50390625" style="11" customWidth="1"/>
    <col min="8" max="8" width="19.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111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1" t="s">
        <v>108</v>
      </c>
      <c r="C3" s="161" t="s">
        <v>90</v>
      </c>
      <c r="D3" s="161" t="s">
        <v>23</v>
      </c>
      <c r="E3" s="161" t="s">
        <v>22</v>
      </c>
      <c r="F3" s="161" t="s">
        <v>110</v>
      </c>
      <c r="G3" s="161" t="s">
        <v>92</v>
      </c>
      <c r="H3" s="161" t="s">
        <v>109</v>
      </c>
      <c r="I3" s="161" t="s">
        <v>91</v>
      </c>
    </row>
    <row r="4" spans="1:9" ht="24.75" customHeight="1">
      <c r="A4" s="165"/>
      <c r="B4" s="162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3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590235.2-1537.8</f>
        <v>588697.3999999999</v>
      </c>
      <c r="C6" s="40">
        <f>625865.1-190.4-316.9+47.1+50+198+5366.4+2952+4818.2+150+808.5-0.1-255.7+10077.1+331.6-3275.2+683.4+275</f>
        <v>647584.1</v>
      </c>
      <c r="D6" s="41">
        <f>13722.6+355.6+14658+9356.3+1168.4+664.2+502.3+461.6+16471.9+946.1+4113.7+1906.3+1145.7+13071.9+14499.5+2217+39.1+0.3+3404.9+3295.8+35.7+414.5+17321.2+49.6+892.3+881.9+3049.4+879.6+2138.8+113.2+23136.9+2610.9+142.4+2.4+2656.1+417.8+15.6+508.1+4161.5+10062.1+8571.6+148.7+636.7+56+784.8+595+869.5+10293.3+13742.9+140.3+827.7+1236.3+265+1268.8+15534.8+1302.5+286+428.4+1552.3+442.8+543+160.5+19088.9+16858.4+0.5-0.4+9378.9+533.8+67.6+218+1759.2+23001.7+12551.4+281.5+368.1+465.7+88.7+344.2+50+8771.1+1063.2+22747.5+0.7+114.8+1001.8+145.8+258.5+281.6+150.9+90.4+6968.6+422+814.3+1+19.2+40.1+26.3+939.8+4538.1+733.2+3537.6+24.9+131+376.8+35.4+105.8+117+93+3179.6+5641.3+44.7+341.3+226.2+71.3+204.4+196.8+17509.3+115+469.9-19.8+61+463.6+581.6+153.1+15631+107.2+1003.9+347.9+724.5+1512.3+733.4+10763.4+10898.3+2491.5+321.4+180.3+1483.5+12111.7+5218+72+150.5+33.2+16.3+1406.1+728.2+1001.9+486.9+259.1+10354.1+13977.8+43.8+13.4+113.1+1351.9+1646.1+174+1854.3+11637.9+11348.9-33.6+382.3+881.6+979.5+0.2+1011.8+146.3+1940.7+1800.5+14802.7+10447.7+2394.7+50.9+5.5+22.9+0.3+2460.1+406.8+2483.8+351.5+945.2+484+4.9+9433.8+7959.3+1743.3+1172.4+553.6+943.3+510+170+1485.3+4482+170+3670+33089.9</f>
        <v>626575.0000000001</v>
      </c>
      <c r="E6" s="3">
        <f>D6/D151*100</f>
        <v>33.48699163385041</v>
      </c>
      <c r="F6" s="3">
        <f>D6/B6*100</f>
        <v>106.43413747028615</v>
      </c>
      <c r="G6" s="3">
        <f aca="true" t="shared" si="0" ref="G6:G43">D6/C6*100</f>
        <v>96.75577272511788</v>
      </c>
      <c r="H6" s="41">
        <f>B6-D6</f>
        <v>-37877.60000000021</v>
      </c>
      <c r="I6" s="41">
        <f aca="true" t="shared" si="1" ref="I6:I43">C6-D6</f>
        <v>21009.09999999986</v>
      </c>
      <c r="K6" s="158"/>
    </row>
    <row r="7" spans="1:12" s="95" customFormat="1" ht="18">
      <c r="A7" s="144" t="s">
        <v>82</v>
      </c>
      <c r="B7" s="145">
        <v>223808.1</v>
      </c>
      <c r="C7" s="146">
        <f>243287.4+47.1+202.4+2022.5</f>
        <v>245559.4</v>
      </c>
      <c r="D7" s="147">
        <f>6699.4+11261.7+10.2+8073.8+9792.3+0.1+0.8+7352+6.6+10108.4-0.1+7942.1+9848.6-0.1+7861.7+17351.9+0.1+8976.7+21107.4+3648.1+8478-0.1+422+40.1+569.1+2781.8+7228.1+78.7+0.1+7673+92.1+10319.7+9.3+8020.9+10334.5+11348.9+0.1+10447.7+0.3+4.9+7959.3+1172.4+510+170+170+14284.2</f>
        <v>232156.80000000002</v>
      </c>
      <c r="E7" s="148">
        <f>D7/D6*100</f>
        <v>37.0517176714679</v>
      </c>
      <c r="F7" s="148">
        <f>D7/B7*100</f>
        <v>103.73029394378489</v>
      </c>
      <c r="G7" s="148">
        <f>D7/C7*100</f>
        <v>94.54201305264634</v>
      </c>
      <c r="H7" s="147">
        <f>B7-D7</f>
        <v>-8348.700000000012</v>
      </c>
      <c r="I7" s="147">
        <f t="shared" si="1"/>
        <v>13402.599999999977</v>
      </c>
      <c r="K7" s="158"/>
      <c r="L7" s="143"/>
    </row>
    <row r="8" spans="1:12" s="94" customFormat="1" ht="18">
      <c r="A8" s="105" t="s">
        <v>3</v>
      </c>
      <c r="B8" s="130">
        <f>465190.1-2608.1</f>
        <v>462582</v>
      </c>
      <c r="C8" s="131">
        <f>487771.7+47.1+4992.2+4503.5+174-122.1+10000+1504.6-8585.7+263.9+306.9</f>
        <v>500856.10000000003</v>
      </c>
      <c r="D8" s="107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+10447.7+13397.3+2+22.9+0.3+9163.8+7959.3+10.6+28076.4</f>
        <v>487795.6999999999</v>
      </c>
      <c r="E8" s="109">
        <f>D8/D6*100</f>
        <v>77.85112715955789</v>
      </c>
      <c r="F8" s="109">
        <f>D8/B8*100</f>
        <v>105.45064442628549</v>
      </c>
      <c r="G8" s="109">
        <f t="shared" si="0"/>
        <v>97.39238475881594</v>
      </c>
      <c r="H8" s="107">
        <f>B8-D8</f>
        <v>-25213.699999999895</v>
      </c>
      <c r="I8" s="107">
        <f t="shared" si="1"/>
        <v>13060.40000000014</v>
      </c>
      <c r="K8" s="158"/>
      <c r="L8" s="143"/>
    </row>
    <row r="9" spans="1:12" s="94" customFormat="1" ht="18">
      <c r="A9" s="105" t="s">
        <v>2</v>
      </c>
      <c r="B9" s="130">
        <v>90.3</v>
      </c>
      <c r="C9" s="131">
        <f>92.5-1.2</f>
        <v>91.3</v>
      </c>
      <c r="D9" s="107">
        <f>2.5+4.3+3.3+7+0.4+1.3+1.6+1.3+1.5-0.1+0.8+5.1+2.1+0.8+4.5+2.3+3.3+2.6+0.4+0.9+2.1+0.9+1.5+0.4+3.7+4.5+1.4+0.9+0.7+1.2+2.5+2.2+15.4+3.8</f>
        <v>87.10000000000001</v>
      </c>
      <c r="E9" s="132">
        <f>D9/D6*100</f>
        <v>0.013900969556717073</v>
      </c>
      <c r="F9" s="109">
        <f>D9/B9*100</f>
        <v>96.45625692137322</v>
      </c>
      <c r="G9" s="109">
        <f t="shared" si="0"/>
        <v>95.39978094194963</v>
      </c>
      <c r="H9" s="107">
        <f aca="true" t="shared" si="2" ref="H9:H43">B9-D9</f>
        <v>3.1999999999999886</v>
      </c>
      <c r="I9" s="107">
        <f t="shared" si="1"/>
        <v>4.199999999999989</v>
      </c>
      <c r="K9" s="158"/>
      <c r="L9" s="143"/>
    </row>
    <row r="10" spans="1:12" s="94" customFormat="1" ht="18">
      <c r="A10" s="105" t="s">
        <v>1</v>
      </c>
      <c r="B10" s="130">
        <f>29092+1787.1</f>
        <v>30879.1</v>
      </c>
      <c r="C10" s="131">
        <f>27822.4-190.4-170.5+3029.3+3901.6</f>
        <v>34392.4</v>
      </c>
      <c r="D10" s="149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+170.9+146.3+459.9+131.1+136+203.6+302.7+315.4+681.7+348.4+9.6+187.6+111.4+324.6+109.5+191+491.8+560.5+476.5+1002.2</f>
        <v>33812.399999999994</v>
      </c>
      <c r="E10" s="109">
        <f>D10/D6*100</f>
        <v>5.396385109523997</v>
      </c>
      <c r="F10" s="109">
        <f aca="true" t="shared" si="3" ref="F10:F41">D10/B10*100</f>
        <v>109.49930535540217</v>
      </c>
      <c r="G10" s="109">
        <f t="shared" si="0"/>
        <v>98.31358090740976</v>
      </c>
      <c r="H10" s="107">
        <f t="shared" si="2"/>
        <v>-2933.2999999999956</v>
      </c>
      <c r="I10" s="107">
        <f t="shared" si="1"/>
        <v>580.0000000000073</v>
      </c>
      <c r="K10" s="158"/>
      <c r="L10" s="143"/>
    </row>
    <row r="11" spans="1:12" s="94" customFormat="1" ht="18">
      <c r="A11" s="105" t="s">
        <v>0</v>
      </c>
      <c r="B11" s="130">
        <v>65371.9</v>
      </c>
      <c r="C11" s="131">
        <f>80900.5-133.6-4046.3-981.1-17.2</f>
        <v>75722.29999999999</v>
      </c>
      <c r="D11" s="150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+543.8+551.1+713.2+1023.4+1622.3+26.7+5.5+2019.7+1476.9+3.1+360.3+146.4+146.2+1008.6+329.9+515.8+708.7+2965+1832.6+2103</f>
        <v>70300.1</v>
      </c>
      <c r="E11" s="109">
        <f>D11/D6*100</f>
        <v>11.21974224953118</v>
      </c>
      <c r="F11" s="109">
        <f t="shared" si="3"/>
        <v>107.53871311679791</v>
      </c>
      <c r="G11" s="109">
        <f t="shared" si="0"/>
        <v>92.8393617203915</v>
      </c>
      <c r="H11" s="107">
        <f t="shared" si="2"/>
        <v>-4928.200000000004</v>
      </c>
      <c r="I11" s="107">
        <f t="shared" si="1"/>
        <v>5422.1999999999825</v>
      </c>
      <c r="K11" s="158"/>
      <c r="L11" s="143"/>
    </row>
    <row r="12" spans="1:12" s="94" customFormat="1" ht="18">
      <c r="A12" s="105" t="s">
        <v>14</v>
      </c>
      <c r="B12" s="130">
        <f>12556.2-800</f>
        <v>11756.2</v>
      </c>
      <c r="C12" s="131">
        <f>14045.5-16.9-29.9-73-52.2-1500+386.7+61.8</f>
        <v>12822</v>
      </c>
      <c r="D12" s="107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+150.5+547.3+3.8+5.4+270.9+294.8+34.8-243</f>
        <v>11881.899999999992</v>
      </c>
      <c r="E12" s="109">
        <f>D12/D6*100</f>
        <v>1.8963252603439316</v>
      </c>
      <c r="F12" s="109">
        <f t="shared" si="3"/>
        <v>101.06922304826382</v>
      </c>
      <c r="G12" s="109">
        <f t="shared" si="0"/>
        <v>92.6680705038215</v>
      </c>
      <c r="H12" s="107">
        <f>B12-D12</f>
        <v>-125.69999999999163</v>
      </c>
      <c r="I12" s="107">
        <f t="shared" si="1"/>
        <v>940.1000000000076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18017.89999999991</v>
      </c>
      <c r="C13" s="131">
        <f>C6-C8-C9-C10-C11-C12</f>
        <v>23699.99999999997</v>
      </c>
      <c r="D13" s="131">
        <f>D6-D8-D9-D10-D11-D12</f>
        <v>22697.80000000022</v>
      </c>
      <c r="E13" s="109">
        <f>D13/D6*100</f>
        <v>3.622519251486289</v>
      </c>
      <c r="F13" s="109">
        <f t="shared" si="3"/>
        <v>125.97361512718092</v>
      </c>
      <c r="G13" s="109">
        <f t="shared" si="0"/>
        <v>95.77130801687869</v>
      </c>
      <c r="H13" s="107">
        <f t="shared" si="2"/>
        <v>-4679.900000000311</v>
      </c>
      <c r="I13" s="107">
        <f t="shared" si="1"/>
        <v>1002.1999999997497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345814.7+2823.9</f>
        <v>348638.60000000003</v>
      </c>
      <c r="C18" s="40">
        <f>329127.1+600+14307.6+200+1333.8+15842.2+1513.4+30+10000+981.3+4959+11.4+2535.4</f>
        <v>381441.2</v>
      </c>
      <c r="D18" s="41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+79+81.2+7.4+1273.9+704.5+509.2+2728+6442.1+5604.8-85+31.2+74.1+1499.1+685.3+1.4+1528.3+498.1+339.8+5947+3880.7+667.4+959.6+2564.3+743+31.1+1170.2+538.4+857.2+9871+8679.8+2110.4+511.2+37.2+193.1</f>
        <v>377707.9</v>
      </c>
      <c r="E18" s="3">
        <f>D18/D151*100</f>
        <v>20.186412300744852</v>
      </c>
      <c r="F18" s="3">
        <f>D18/B18*100</f>
        <v>108.33794651538871</v>
      </c>
      <c r="G18" s="3">
        <f t="shared" si="0"/>
        <v>99.02126461431016</v>
      </c>
      <c r="H18" s="41">
        <f>B18-D18</f>
        <v>-29069.29999999999</v>
      </c>
      <c r="I18" s="41">
        <f t="shared" si="1"/>
        <v>3733.2999999999884</v>
      </c>
      <c r="K18" s="158"/>
    </row>
    <row r="19" spans="1:13" s="95" customFormat="1" ht="18">
      <c r="A19" s="144" t="s">
        <v>83</v>
      </c>
      <c r="B19" s="145">
        <v>219649.2</v>
      </c>
      <c r="C19" s="146">
        <f>238249.5+1256+2127.3+2535.4</f>
        <v>244168.19999999998</v>
      </c>
      <c r="D19" s="147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+607.4+4600.9+4391+967.6+81.2+7.4+704.5+2728+5604.8+74.1+685.3+1.4+498.1+5947+3880.7+959.6+743+538.4+8679.8+511.2+37.2+26.8</f>
        <v>242171.0000000001</v>
      </c>
      <c r="E19" s="148">
        <f>D19/D18*100</f>
        <v>64.11594779987394</v>
      </c>
      <c r="F19" s="148">
        <f t="shared" si="3"/>
        <v>110.25353154029247</v>
      </c>
      <c r="G19" s="148">
        <f t="shared" si="0"/>
        <v>99.18203926637462</v>
      </c>
      <c r="H19" s="147">
        <f t="shared" si="2"/>
        <v>-22521.800000000076</v>
      </c>
      <c r="I19" s="147">
        <f t="shared" si="1"/>
        <v>1997.1999999998952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348638.60000000003</v>
      </c>
      <c r="C25" s="131">
        <f>C18</f>
        <v>381441.2</v>
      </c>
      <c r="D25" s="131">
        <f>D18</f>
        <v>377707.9</v>
      </c>
      <c r="E25" s="109">
        <f>D25/D18*100</f>
        <v>100</v>
      </c>
      <c r="F25" s="109">
        <f t="shared" si="3"/>
        <v>108.33794651538871</v>
      </c>
      <c r="G25" s="109">
        <f t="shared" si="0"/>
        <v>99.02126461431016</v>
      </c>
      <c r="H25" s="107">
        <f t="shared" si="2"/>
        <v>-29069.29999999999</v>
      </c>
      <c r="I25" s="107">
        <f t="shared" si="1"/>
        <v>3733.2999999999884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f>58869.7+190-1466.1</f>
        <v>57593.6</v>
      </c>
      <c r="C33" s="40">
        <f>67303.3-3099.2+301.7+44-104+255.7+122+221-122.1+190-1810.9+59-69.8</f>
        <v>63290.7</v>
      </c>
      <c r="D33" s="43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+49.1+3+257+59.9+1758.5+531-7+2.3+215.2+199.7+8.1+10.3+302.2+2180.3+109.8+161.5+3.3+150.2+118.9+270.5+732.5+2585.4-0.4</f>
        <v>62697.89999999998</v>
      </c>
      <c r="E33" s="3">
        <f>D33/D151*100</f>
        <v>3.3508583214459384</v>
      </c>
      <c r="F33" s="3">
        <f>D33/B33*100</f>
        <v>108.86261667963105</v>
      </c>
      <c r="G33" s="3">
        <f t="shared" si="0"/>
        <v>99.0633694997843</v>
      </c>
      <c r="H33" s="41">
        <f t="shared" si="2"/>
        <v>-5104.299999999981</v>
      </c>
      <c r="I33" s="41">
        <f t="shared" si="1"/>
        <v>592.8000000000175</v>
      </c>
      <c r="K33" s="158"/>
    </row>
    <row r="34" spans="1:11" s="94" customFormat="1" ht="18">
      <c r="A34" s="105" t="s">
        <v>3</v>
      </c>
      <c r="B34" s="130">
        <f>48244.7-1466.1</f>
        <v>46778.6</v>
      </c>
      <c r="C34" s="131">
        <f>55535.9-3105.8+301.7+122.2+18.9-1878.9+14+40.2</f>
        <v>51048.19999999999</v>
      </c>
      <c r="D34" s="107">
        <f>1743.2+1833.7+1830.2+1935.3+81+1854.2+129.9+1804.7+34.4+1.5+1881.6+1967.7+0.1+1784.4+235.6+2357.6-0.1+6335.8+2919.9+53.7+142.8+686.6+728.3+0.1+8.8+87.6+495.7+1689.4+9.2+4.2+70.1+2075.5+2129.1+113+4.5+2132.8-9.1+2045.9+241.3+11.3+2514.5+90.9+1665.8+520-7+2180.3+3.8+2401.1</f>
        <v>50820.900000000016</v>
      </c>
      <c r="E34" s="109">
        <f>D34/D33*100</f>
        <v>81.05678180608925</v>
      </c>
      <c r="F34" s="109">
        <f t="shared" si="3"/>
        <v>108.64134454643795</v>
      </c>
      <c r="G34" s="109">
        <f t="shared" si="0"/>
        <v>99.5547345449987</v>
      </c>
      <c r="H34" s="107">
        <f t="shared" si="2"/>
        <v>-4042.3000000000175</v>
      </c>
      <c r="I34" s="107">
        <f t="shared" si="1"/>
        <v>227.2999999999738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2587.6563300000003</v>
      </c>
      <c r="C36" s="131">
        <f>2945.3+133.6+0.3-90</f>
        <v>2989.2000000000003</v>
      </c>
      <c r="D36" s="107">
        <f>5.4+1.2+41.8+16.1+2.9+29.7+160.9+0.8+93.4+46.9+11.2+0.1+15.2+184.7+9.2+183.2+0.9+11.9+0.1+174+0.1+59.2+12.8+2+8.2+325.6+7.6-0.1+53.7+13.4+10.7+7.4+0.6+1.6+1.5+8.1+1.8+9.7+0.1+1+17.2-0.3+3.2+3.8+10.2+6.6+6.3+7.9+2+3.1+1.1+24.5+23.5+0.9+92.8+6.7+128.8+27+38.2+1.3+65.6+1.7+198.7+0.5+155.2+3.3+4.3+109.8+343.7+45.8</f>
        <v>2848</v>
      </c>
      <c r="E36" s="109">
        <f>D36/D33*100</f>
        <v>4.542416891155845</v>
      </c>
      <c r="F36" s="109">
        <f t="shared" si="3"/>
        <v>110.06098325274903</v>
      </c>
      <c r="G36" s="109">
        <f t="shared" si="0"/>
        <v>95.27632811454569</v>
      </c>
      <c r="H36" s="107">
        <f t="shared" si="2"/>
        <v>-260.34366999999975</v>
      </c>
      <c r="I36" s="107">
        <f t="shared" si="1"/>
        <v>141.20000000000027</v>
      </c>
      <c r="K36" s="158"/>
    </row>
    <row r="37" spans="1:12" s="95" customFormat="1" ht="18">
      <c r="A37" s="121" t="s">
        <v>7</v>
      </c>
      <c r="B37" s="141">
        <f>690.2+190</f>
        <v>880.2</v>
      </c>
      <c r="C37" s="142">
        <f>856.1-104+190</f>
        <v>942.1</v>
      </c>
      <c r="D37" s="112">
        <f>7.4+12.3+6.1+3.3+9.3+3.2+58.1+36.7+24.4+18.9-18.9+0.1+12+83.3+21.3+10.7+4.7+55.2+2.2+22.4+77.9+16.1+3.3+3+43.6+88+51+4.8+4.3+9.7+2.3+0.3+6.9+140+56.3+19.6</f>
        <v>899.7999999999998</v>
      </c>
      <c r="E37" s="116">
        <f>D37/D33*100</f>
        <v>1.4351357860470608</v>
      </c>
      <c r="F37" s="116">
        <f t="shared" si="3"/>
        <v>102.22676664394454</v>
      </c>
      <c r="G37" s="116">
        <f t="shared" si="0"/>
        <v>95.51003078229485</v>
      </c>
      <c r="H37" s="112">
        <f t="shared" si="2"/>
        <v>-19.599999999999795</v>
      </c>
      <c r="I37" s="112">
        <f t="shared" si="1"/>
        <v>42.30000000000018</v>
      </c>
      <c r="K37" s="158"/>
      <c r="L37" s="143"/>
    </row>
    <row r="38" spans="1:11" s="94" customFormat="1" ht="18">
      <c r="A38" s="105" t="s">
        <v>14</v>
      </c>
      <c r="B38" s="130">
        <v>75.7</v>
      </c>
      <c r="C38" s="131">
        <v>80.8</v>
      </c>
      <c r="D38" s="131">
        <f>5.1+5.1+5.1+5.1+5.1+3.3+40+6.9+1.2+3.9</f>
        <v>80.80000000000001</v>
      </c>
      <c r="E38" s="109">
        <f>D38/D33*100</f>
        <v>0.12887193988953385</v>
      </c>
      <c r="F38" s="109">
        <f t="shared" si="3"/>
        <v>106.73712021136063</v>
      </c>
      <c r="G38" s="109">
        <f t="shared" si="0"/>
        <v>100.00000000000003</v>
      </c>
      <c r="H38" s="107">
        <f t="shared" si="2"/>
        <v>-5.1000000000000085</v>
      </c>
      <c r="I38" s="107">
        <f t="shared" si="1"/>
        <v>0</v>
      </c>
      <c r="K38" s="158"/>
    </row>
    <row r="39" spans="1:11" s="94" customFormat="1" ht="18.75" thickBot="1">
      <c r="A39" s="105" t="s">
        <v>28</v>
      </c>
      <c r="B39" s="130">
        <f>B33-B34-B36-B37-B35-B38</f>
        <v>7271.443670000001</v>
      </c>
      <c r="C39" s="130">
        <f>C33-C34-C36-C37-C35-C38</f>
        <v>8230.400000000007</v>
      </c>
      <c r="D39" s="130">
        <f>D33-D34-D36-D37-D35-D38</f>
        <v>8048.399999999963</v>
      </c>
      <c r="E39" s="109">
        <f>D39/D33*100</f>
        <v>12.836793576818309</v>
      </c>
      <c r="F39" s="109">
        <f t="shared" si="3"/>
        <v>110.68503539682875</v>
      </c>
      <c r="G39" s="109">
        <f t="shared" si="0"/>
        <v>97.7886858475889</v>
      </c>
      <c r="H39" s="107">
        <f>B39-D39</f>
        <v>-776.9563299999627</v>
      </c>
      <c r="I39" s="107">
        <f t="shared" si="1"/>
        <v>182.00000000004366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2176-90</f>
        <v>2086</v>
      </c>
      <c r="C43" s="40">
        <f>1548.6+6.6+21.9+503.3+153.3+3.3-90</f>
        <v>2147.0000000000005</v>
      </c>
      <c r="D43" s="41">
        <f>29.1+22+50.2+8.1+0.6+111.5+89.2+3+14.7+7.1+8.4+11.5+17.6+100.3+27.2+6.2-0.1+30.1+12.7+5+6.1+5+7.2+55.8+7.4+109.8-0.1+35+11.8+22.6+27.4+6.5+3.2+63.8+35.8+6.6+2.7+4+0.2+6.5+6.9+61+27.1-0.1+3.2+4.7+2.4+51.9+11+53.3-0.1+65.1+0.4+11+9.8+53+2.5+1.3+0.2+1.5+55.8+50.7+0.5+53.3+5.6+2</f>
        <v>1505.7</v>
      </c>
      <c r="E43" s="3">
        <f>D43/D151*100</f>
        <v>0.08047139337364011</v>
      </c>
      <c r="F43" s="3">
        <f>D43/B43*100</f>
        <v>72.18120805369128</v>
      </c>
      <c r="G43" s="3">
        <f t="shared" si="0"/>
        <v>70.13041453190498</v>
      </c>
      <c r="H43" s="41">
        <f t="shared" si="2"/>
        <v>580.3</v>
      </c>
      <c r="I43" s="41">
        <f t="shared" si="1"/>
        <v>641.3000000000004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10722.279</v>
      </c>
      <c r="C45" s="40">
        <v>11788</v>
      </c>
      <c r="D45" s="41">
        <f>102.9+155.5+3.1+3.7+452.3+6+17.2+314.1+59.3+95.2+2.2+579+1.9+71.6+375.2+7+7.3+568.3+0.1+96.1+326.4+4.1+518.1-0.1+350+35.2+5.1+556.7+19.5+326.2+24.6+1+691.6+365.3+4.1+585.4+328.4+3.5+1.9+509.6-0.1+18.5+0.1+311.5+518.9+25.3+320.2+4.8+8.1+758.7+371.6-0.1+538+48+75.1+326+56.1+91.1+0.6+595.4</f>
        <v>11642.400000000001</v>
      </c>
      <c r="E45" s="3">
        <f>D45/D151*100</f>
        <v>0.622222321985301</v>
      </c>
      <c r="F45" s="3">
        <f>D45/B45*100</f>
        <v>108.58139393686734</v>
      </c>
      <c r="G45" s="3">
        <f aca="true" t="shared" si="5" ref="G45:G76">D45/C45*100</f>
        <v>98.76484560570073</v>
      </c>
      <c r="H45" s="41">
        <f>B45-D45</f>
        <v>-920.121000000001</v>
      </c>
      <c r="I45" s="41">
        <f aca="true" t="shared" si="6" ref="I45:I77">C45-D45</f>
        <v>145.59999999999854</v>
      </c>
      <c r="K45" s="158"/>
    </row>
    <row r="46" spans="1:11" s="94" customFormat="1" ht="18">
      <c r="A46" s="105" t="s">
        <v>3</v>
      </c>
      <c r="B46" s="130">
        <v>9678.196</v>
      </c>
      <c r="C46" s="131">
        <v>10529.7</v>
      </c>
      <c r="D46" s="107">
        <f>102.7+154.9+447.3+314.1+572.1+284.8+559+325.4+510.8+301.6+29.6+556.7+0.1+311.9+684.4+334.8+585.4+305.3+503.4-0.1+18+293.3+510.8+310.5+0.1+758.7+314.8+524.7+326+86.9+501.7</f>
        <v>10529.7</v>
      </c>
      <c r="E46" s="109">
        <f>D46/D45*100</f>
        <v>90.44269222840651</v>
      </c>
      <c r="F46" s="109">
        <f aca="true" t="shared" si="7" ref="F46:F74">D46/B46*100</f>
        <v>108.79816858431055</v>
      </c>
      <c r="G46" s="109">
        <f t="shared" si="5"/>
        <v>100</v>
      </c>
      <c r="H46" s="107">
        <f aca="true" t="shared" si="8" ref="H46:H74">B46-D46</f>
        <v>-851.5040000000008</v>
      </c>
      <c r="I46" s="107">
        <f t="shared" si="6"/>
        <v>0</v>
      </c>
      <c r="K46" s="158"/>
    </row>
    <row r="47" spans="1:11" s="94" customFormat="1" ht="18">
      <c r="A47" s="105" t="s">
        <v>2</v>
      </c>
      <c r="B47" s="130">
        <v>1.38</v>
      </c>
      <c r="C47" s="131">
        <v>1.4</v>
      </c>
      <c r="D47" s="107">
        <f>0.4+0.4</f>
        <v>0.8</v>
      </c>
      <c r="E47" s="109">
        <f>D47/D45*100</f>
        <v>0.006871435442864014</v>
      </c>
      <c r="F47" s="109">
        <f t="shared" si="7"/>
        <v>57.97101449275364</v>
      </c>
      <c r="G47" s="109">
        <f t="shared" si="5"/>
        <v>57.14285714285715</v>
      </c>
      <c r="H47" s="107">
        <f t="shared" si="8"/>
        <v>0.5799999999999998</v>
      </c>
      <c r="I47" s="107">
        <f t="shared" si="6"/>
        <v>0.5999999999999999</v>
      </c>
      <c r="K47" s="158"/>
    </row>
    <row r="48" spans="1:11" s="94" customFormat="1" ht="18">
      <c r="A48" s="105" t="s">
        <v>1</v>
      </c>
      <c r="B48" s="130">
        <v>64.352</v>
      </c>
      <c r="C48" s="131">
        <f>73.4+0.9+0.1</f>
        <v>74.4</v>
      </c>
      <c r="D48" s="107">
        <f>5.4+5.6+7.3+6+2.1+4.3+6.6+2.2+4.2+6.4+6.6+6.5</f>
        <v>63.20000000000001</v>
      </c>
      <c r="E48" s="109">
        <f>D48/D45*100</f>
        <v>0.5428433999862571</v>
      </c>
      <c r="F48" s="109">
        <f t="shared" si="7"/>
        <v>98.2098458478369</v>
      </c>
      <c r="G48" s="109">
        <f t="shared" si="5"/>
        <v>84.94623655913979</v>
      </c>
      <c r="H48" s="107">
        <f t="shared" si="8"/>
        <v>1.151999999999994</v>
      </c>
      <c r="I48" s="107">
        <f t="shared" si="6"/>
        <v>11.199999999999996</v>
      </c>
      <c r="K48" s="158"/>
    </row>
    <row r="49" spans="1:11" s="94" customFormat="1" ht="18">
      <c r="A49" s="105" t="s">
        <v>0</v>
      </c>
      <c r="B49" s="130">
        <v>688.602</v>
      </c>
      <c r="C49" s="131">
        <v>865.1</v>
      </c>
      <c r="D49" s="107">
        <f>3.1+3.5+1+0.7+59.3+95.2+2.2+6-0.1+53.5+89.7+6.2+7.2+73.9+0.4+4+3.2+30.6+0.2+2.7+3.1+5.4+3.6+1.3+5+0.5+0.4+4.8+0.7+0.5+6.7+33.4+6.8+47.8+45.7+52.2+4.2+75.3</f>
        <v>739.9</v>
      </c>
      <c r="E49" s="109">
        <f>D49/D45*100</f>
        <v>6.355218855218854</v>
      </c>
      <c r="F49" s="109">
        <f t="shared" si="7"/>
        <v>107.44958626318251</v>
      </c>
      <c r="G49" s="109">
        <f t="shared" si="5"/>
        <v>85.52768466073286</v>
      </c>
      <c r="H49" s="107">
        <f t="shared" si="8"/>
        <v>-51.298</v>
      </c>
      <c r="I49" s="107">
        <f t="shared" si="6"/>
        <v>125.20000000000005</v>
      </c>
      <c r="K49" s="158"/>
    </row>
    <row r="50" spans="1:11" s="94" customFormat="1" ht="18.75" thickBot="1">
      <c r="A50" s="105" t="s">
        <v>28</v>
      </c>
      <c r="B50" s="131">
        <f>B45-B46-B49-B48-B47</f>
        <v>289.7490000000006</v>
      </c>
      <c r="C50" s="131">
        <f>C45-C46-C49-C48-C47</f>
        <v>317.3999999999993</v>
      </c>
      <c r="D50" s="131">
        <f>D45-D46-D49-D48-D47</f>
        <v>308.80000000000075</v>
      </c>
      <c r="E50" s="109">
        <f>D50/D45*100</f>
        <v>2.6523740809455156</v>
      </c>
      <c r="F50" s="109">
        <f t="shared" si="7"/>
        <v>106.57500112166052</v>
      </c>
      <c r="G50" s="109">
        <f t="shared" si="5"/>
        <v>97.29048519218696</v>
      </c>
      <c r="H50" s="107">
        <f t="shared" si="8"/>
        <v>-19.05100000000016</v>
      </c>
      <c r="I50" s="107">
        <f t="shared" si="6"/>
        <v>8.599999999998545</v>
      </c>
      <c r="K50" s="158"/>
    </row>
    <row r="51" spans="1:11" ht="18.75" thickBot="1">
      <c r="A51" s="20" t="s">
        <v>4</v>
      </c>
      <c r="B51" s="39">
        <f>22609.7+500</f>
        <v>23109.7</v>
      </c>
      <c r="C51" s="40">
        <f>23558.7+50+2250-940.4-1250+76.8+148+18.8+1058.7+500+363.6-205.2</f>
        <v>25628.999999999996</v>
      </c>
      <c r="D51" s="41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+283.3+0.3+60.9+0.1+39.3+1060.5+24.7+163.6+0.1+0.7+160.2+186.3+514.3+128.9+453.6+25.1+128.8+913.7+1274.5+0.2</f>
        <v>25024.199999999997</v>
      </c>
      <c r="E51" s="3">
        <f>D51/D151*100</f>
        <v>1.33740601850345</v>
      </c>
      <c r="F51" s="3">
        <f>D51/B51*100</f>
        <v>108.28440005711886</v>
      </c>
      <c r="G51" s="3">
        <f t="shared" si="5"/>
        <v>97.64017324125015</v>
      </c>
      <c r="H51" s="41">
        <f>B51-D51</f>
        <v>-1914.4999999999964</v>
      </c>
      <c r="I51" s="41">
        <f t="shared" si="6"/>
        <v>604.7999999999993</v>
      </c>
      <c r="K51" s="158"/>
    </row>
    <row r="52" spans="1:11" s="94" customFormat="1" ht="18">
      <c r="A52" s="105" t="s">
        <v>3</v>
      </c>
      <c r="B52" s="130">
        <f>13609.9+157.8</f>
        <v>13767.699999999999</v>
      </c>
      <c r="C52" s="131">
        <f>16189.8-940.4-9.6</f>
        <v>15239.8</v>
      </c>
      <c r="D52" s="107">
        <f>392.4+738.8+389.6+752.9+403.1+730.4+397.8+724.9+1.1+0.1+403+795.7+527.1+1240.6+386.5+33.7+705.7+0.1+5.8+226.6+536.1+14.2+2.1+376.1+1.7+154.2+769.9+9+398.1-0.1+5.3+1.1+963.2+13.3+716.5+1.1+31.1+837.9+514.1+946.6</f>
        <v>15147.400000000003</v>
      </c>
      <c r="E52" s="109">
        <f>D52/D51*100</f>
        <v>60.53100598620538</v>
      </c>
      <c r="F52" s="109">
        <f t="shared" si="7"/>
        <v>110.02128169556285</v>
      </c>
      <c r="G52" s="109">
        <f t="shared" si="5"/>
        <v>99.3936928306146</v>
      </c>
      <c r="H52" s="107">
        <f t="shared" si="8"/>
        <v>-1379.7000000000044</v>
      </c>
      <c r="I52" s="107">
        <f t="shared" si="6"/>
        <v>92.399999999996</v>
      </c>
      <c r="K52" s="158"/>
    </row>
    <row r="53" spans="1:11" s="94" customFormat="1" ht="18">
      <c r="A53" s="105" t="s">
        <v>2</v>
      </c>
      <c r="B53" s="130">
        <v>9.75</v>
      </c>
      <c r="C53" s="131">
        <v>13</v>
      </c>
      <c r="D53" s="107">
        <f>1.6+1.4+1.7+1.6+0.1+5</f>
        <v>11.4</v>
      </c>
      <c r="E53" s="109">
        <f>D53/D51*100</f>
        <v>0.045555901886973414</v>
      </c>
      <c r="F53" s="109">
        <f>D53/B53*100</f>
        <v>116.92307692307693</v>
      </c>
      <c r="G53" s="109">
        <f t="shared" si="5"/>
        <v>87.6923076923077</v>
      </c>
      <c r="H53" s="107">
        <f t="shared" si="8"/>
        <v>-1.6500000000000004</v>
      </c>
      <c r="I53" s="107">
        <f t="shared" si="6"/>
        <v>1.5999999999999996</v>
      </c>
      <c r="K53" s="158"/>
    </row>
    <row r="54" spans="1:11" s="94" customFormat="1" ht="18">
      <c r="A54" s="105" t="s">
        <v>1</v>
      </c>
      <c r="B54" s="130">
        <f>744.5-0.2</f>
        <v>744.3</v>
      </c>
      <c r="C54" s="131">
        <v>810.2</v>
      </c>
      <c r="D54" s="107">
        <f>1.9+1.9+0.5+7.4+2.1+1.2+12.9+5.1+0.1+4.5+16.8+19.2+9.7+3.1+1.1+1.4+2.5+5.7+19.9+0.8+28.2+4+19.8+8.2+38.7+4.3+0.2+18.2+4.3+27.9+3.9+3+21+4+9.4+2.4+4.7+1.2+8.1+6.9+10.9+0.1+38.9+5.3+2.8+0.1+3+2.2+20.1+27.7+3.6+38.3+19.9+5.8+2.6+7.8+14.9+0.8+17.5-0.1+59.2+20.1+22.3+11+2.2+14.2+29.1+13.6+3.3+1.2</f>
        <v>734.5999999999999</v>
      </c>
      <c r="E54" s="109">
        <f>D54/D51*100</f>
        <v>2.935558379488655</v>
      </c>
      <c r="F54" s="109">
        <f t="shared" si="7"/>
        <v>98.69676205830982</v>
      </c>
      <c r="G54" s="109">
        <f t="shared" si="5"/>
        <v>90.66897062453714</v>
      </c>
      <c r="H54" s="107">
        <f t="shared" si="8"/>
        <v>9.700000000000045</v>
      </c>
      <c r="I54" s="107">
        <f t="shared" si="6"/>
        <v>75.60000000000014</v>
      </c>
      <c r="K54" s="158"/>
    </row>
    <row r="55" spans="1:11" s="94" customFormat="1" ht="18">
      <c r="A55" s="105" t="s">
        <v>0</v>
      </c>
      <c r="B55" s="130">
        <v>861.918</v>
      </c>
      <c r="C55" s="131">
        <f>1048.5+14.2</f>
        <v>1062.7</v>
      </c>
      <c r="D55" s="107">
        <f>0.5+0.6+7.5+73.9+2.1+51.2+20.8+16.3+5.9+0.4+16.8+14.9+10.4+71.4+0.3+1.2+1.4+16+1.2+0.1+25+43+3.8+1.3+4.1+73.9-0.2+14.3+2.8+3+2.4+0.3+0.4+1.3+1.5+2+0.6+0.5+3+1.3+1.4+2+1.4+0.2+0.3+0.2+0.6+0.1-0.1+0.5+38.9+0.3+0.6+11.4+1.9+2.3+0.2+2+13.1+4.4-0.2+28.3+19.3+61.2+15+13.7+0.2+28.3+13.4+8.2+27.5+77.9</f>
        <v>871.7</v>
      </c>
      <c r="E55" s="109">
        <f>D55/D51*100</f>
        <v>3.4834280416556775</v>
      </c>
      <c r="F55" s="109">
        <f t="shared" si="7"/>
        <v>101.13491074556977</v>
      </c>
      <c r="G55" s="109">
        <f t="shared" si="5"/>
        <v>82.0269125811612</v>
      </c>
      <c r="H55" s="107">
        <f t="shared" si="8"/>
        <v>-9.782000000000039</v>
      </c>
      <c r="I55" s="107">
        <f t="shared" si="6"/>
        <v>191</v>
      </c>
      <c r="K55" s="158"/>
    </row>
    <row r="56" spans="1:11" s="94" customFormat="1" ht="18">
      <c r="A56" s="105" t="s">
        <v>14</v>
      </c>
      <c r="B56" s="130">
        <f>469.362+500</f>
        <v>969.3620000000001</v>
      </c>
      <c r="C56" s="131">
        <f>518.9+500+200</f>
        <v>1218.9</v>
      </c>
      <c r="D56" s="131">
        <f>34+46+40+40+40+40+40+40+38+2+40+40+40+700</f>
        <v>1180</v>
      </c>
      <c r="E56" s="109">
        <f>D56/D51*100</f>
        <v>4.715435458476196</v>
      </c>
      <c r="F56" s="109">
        <f>D56/B56*100</f>
        <v>121.72954995141131</v>
      </c>
      <c r="G56" s="109">
        <f>D56/C56*100</f>
        <v>96.8085979161539</v>
      </c>
      <c r="H56" s="107">
        <f t="shared" si="8"/>
        <v>-210.63799999999992</v>
      </c>
      <c r="I56" s="107">
        <f t="shared" si="6"/>
        <v>38.90000000000009</v>
      </c>
      <c r="K56" s="158"/>
    </row>
    <row r="57" spans="1:11" s="94" customFormat="1" ht="18.75" thickBot="1">
      <c r="A57" s="105" t="s">
        <v>28</v>
      </c>
      <c r="B57" s="131">
        <f>B51-B52-B55-B54-B53-B56</f>
        <v>6756.670000000002</v>
      </c>
      <c r="C57" s="131">
        <f>C51-C52-C55-C54-C53-C56</f>
        <v>7284.399999999996</v>
      </c>
      <c r="D57" s="131">
        <f>D51-D52-D55-D54-D53-D56</f>
        <v>7079.099999999993</v>
      </c>
      <c r="E57" s="109">
        <f>D57/D51*100</f>
        <v>28.289016232287125</v>
      </c>
      <c r="F57" s="109">
        <f t="shared" si="7"/>
        <v>104.77202527280438</v>
      </c>
      <c r="G57" s="109">
        <f t="shared" si="5"/>
        <v>97.18164845423092</v>
      </c>
      <c r="H57" s="107">
        <f>B57-D57</f>
        <v>-322.4299999999912</v>
      </c>
      <c r="I57" s="107">
        <f>C57-D57</f>
        <v>205.3000000000029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v>4301.411</v>
      </c>
      <c r="C59" s="40">
        <f>7844.6+200-378.5+50-3400+500-0.1-163.6</f>
        <v>4652.4</v>
      </c>
      <c r="D59" s="41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+14.5+20.7+194.3+207.2+79.6+9.8+237.7+93.5</f>
        <v>4563.6</v>
      </c>
      <c r="E59" s="3">
        <f>D59/D151*100</f>
        <v>0.2438993496712121</v>
      </c>
      <c r="F59" s="3">
        <f>D59/B59*100</f>
        <v>106.0954184568738</v>
      </c>
      <c r="G59" s="3">
        <f t="shared" si="5"/>
        <v>98.09130771214858</v>
      </c>
      <c r="H59" s="41">
        <f>B59-D59</f>
        <v>-262.1890000000003</v>
      </c>
      <c r="I59" s="41">
        <f t="shared" si="6"/>
        <v>88.79999999999927</v>
      </c>
      <c r="K59" s="158"/>
    </row>
    <row r="60" spans="1:11" s="94" customFormat="1" ht="18">
      <c r="A60" s="105" t="s">
        <v>3</v>
      </c>
      <c r="B60" s="130">
        <v>2344.64772</v>
      </c>
      <c r="C60" s="131">
        <f>2900.3-339.6+11.4</f>
        <v>2572.1000000000004</v>
      </c>
      <c r="D60" s="107">
        <f>55.6+146.1+60.8+59.3+73.6+0.1+67.3+144.6-4.5+79.7+66.8+72.2-0.1+53+75.7+69.4+0.1+39.1+101.5+64.4+45.9+60.8+119.4+37.7+47.7+65.9+60.6-0.1+31.3+40.6+67.5+63.7+74.8+157.2+31.9+0.1+44.8+148.5+79.6+91.7+77.8</f>
        <v>2572.1000000000004</v>
      </c>
      <c r="E60" s="109">
        <f>D60/D59*100</f>
        <v>56.36120606538698</v>
      </c>
      <c r="F60" s="109">
        <f t="shared" si="7"/>
        <v>109.70091489906213</v>
      </c>
      <c r="G60" s="109">
        <f t="shared" si="5"/>
        <v>100</v>
      </c>
      <c r="H60" s="107">
        <f t="shared" si="8"/>
        <v>-227.45228000000043</v>
      </c>
      <c r="I60" s="107">
        <f t="shared" si="6"/>
        <v>0</v>
      </c>
      <c r="K60" s="158"/>
    </row>
    <row r="61" spans="1:11" s="94" customFormat="1" ht="18">
      <c r="A61" s="105" t="s">
        <v>1</v>
      </c>
      <c r="B61" s="130">
        <v>343.7</v>
      </c>
      <c r="C61" s="131">
        <f>337.1+6.6-3.4</f>
        <v>340.30000000000007</v>
      </c>
      <c r="D61" s="107">
        <f>3.2+187.7+74.6+71.5</f>
        <v>337</v>
      </c>
      <c r="E61" s="109">
        <f>D61/D59*100</f>
        <v>7.384520992199141</v>
      </c>
      <c r="F61" s="109">
        <f>D61/B61*100</f>
        <v>98.0506255455339</v>
      </c>
      <c r="G61" s="109">
        <f t="shared" si="5"/>
        <v>99.03026741110783</v>
      </c>
      <c r="H61" s="107">
        <f t="shared" si="8"/>
        <v>6.699999999999989</v>
      </c>
      <c r="I61" s="107">
        <f t="shared" si="6"/>
        <v>3.300000000000068</v>
      </c>
      <c r="K61" s="158"/>
    </row>
    <row r="62" spans="1:11" s="94" customFormat="1" ht="18">
      <c r="A62" s="105" t="s">
        <v>0</v>
      </c>
      <c r="B62" s="130">
        <v>339.07553</v>
      </c>
      <c r="C62" s="131">
        <f>451.8-38.9</f>
        <v>412.90000000000003</v>
      </c>
      <c r="D62" s="107">
        <f>0.4+18.6+55.1+0.5+32.9+0.7+67.5+3.7+0.4+6.3+12.6+0.1+4.2+0.1+1.9+0.5+3.8+1+0.1+0.1+2.5-0.1+0.6+0.1+3.3+0.4+5.9+0.7+14.5+9.9+45.1+6.4+9.8+91.9+11.4</f>
        <v>412.9</v>
      </c>
      <c r="E62" s="109">
        <f>D62/D59*100</f>
        <v>9.047681654833902</v>
      </c>
      <c r="F62" s="109">
        <f t="shared" si="7"/>
        <v>121.7722788783962</v>
      </c>
      <c r="G62" s="109">
        <f t="shared" si="5"/>
        <v>99.99999999999999</v>
      </c>
      <c r="H62" s="107">
        <f t="shared" si="8"/>
        <v>-73.82446999999996</v>
      </c>
      <c r="I62" s="107">
        <f t="shared" si="6"/>
        <v>0</v>
      </c>
      <c r="K62" s="158"/>
    </row>
    <row r="63" spans="1:11" s="94" customFormat="1" ht="18">
      <c r="A63" s="105" t="s">
        <v>14</v>
      </c>
      <c r="B63" s="130">
        <v>807.142</v>
      </c>
      <c r="C63" s="131">
        <f>3707.1-3400+500-223.4</f>
        <v>583.6999999999999</v>
      </c>
      <c r="D63" s="107">
        <f>89.8+459.2</f>
        <v>549</v>
      </c>
      <c r="E63" s="109">
        <f>D63/D59*100</f>
        <v>12.029976334472783</v>
      </c>
      <c r="F63" s="109">
        <f t="shared" si="7"/>
        <v>68.01777134630585</v>
      </c>
      <c r="G63" s="109">
        <f t="shared" si="5"/>
        <v>94.05516532465309</v>
      </c>
      <c r="H63" s="107">
        <f t="shared" si="8"/>
        <v>258.14200000000005</v>
      </c>
      <c r="I63" s="107">
        <f t="shared" si="6"/>
        <v>34.69999999999993</v>
      </c>
      <c r="K63" s="158"/>
    </row>
    <row r="64" spans="1:11" s="94" customFormat="1" ht="18.75" thickBot="1">
      <c r="A64" s="105" t="s">
        <v>28</v>
      </c>
      <c r="B64" s="131">
        <f>B59-B60-B62-B63-B61</f>
        <v>466.84575</v>
      </c>
      <c r="C64" s="131">
        <f>C59-C60-C62-C63-C61</f>
        <v>743.3999999999993</v>
      </c>
      <c r="D64" s="131">
        <f>D59-D60-D62-D63-D61</f>
        <v>692.5999999999999</v>
      </c>
      <c r="E64" s="109">
        <f>D64/D59*100</f>
        <v>15.176614953107192</v>
      </c>
      <c r="F64" s="109">
        <f t="shared" si="7"/>
        <v>148.35735357984942</v>
      </c>
      <c r="G64" s="109">
        <f t="shared" si="5"/>
        <v>93.16653214958308</v>
      </c>
      <c r="H64" s="107">
        <f t="shared" si="8"/>
        <v>-225.7542499999999</v>
      </c>
      <c r="I64" s="107">
        <f t="shared" si="6"/>
        <v>50.799999999999386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377.3</v>
      </c>
      <c r="C69" s="40">
        <f>C70+C71</f>
        <v>367.6</v>
      </c>
      <c r="D69" s="41">
        <f>SUM(D70:D71)</f>
        <v>292.4</v>
      </c>
      <c r="E69" s="30">
        <f>D69/D151*100</f>
        <v>0.015627173688286092</v>
      </c>
      <c r="F69" s="3">
        <f>D69/B69*100</f>
        <v>77.49801219188973</v>
      </c>
      <c r="G69" s="3">
        <f t="shared" si="5"/>
        <v>79.5429815016322</v>
      </c>
      <c r="H69" s="41">
        <f>B69-D69</f>
        <v>84.90000000000003</v>
      </c>
      <c r="I69" s="41">
        <f t="shared" si="6"/>
        <v>75.20000000000005</v>
      </c>
      <c r="K69" s="158"/>
    </row>
    <row r="70" spans="1:11" s="94" customFormat="1" ht="18">
      <c r="A70" s="105" t="s">
        <v>8</v>
      </c>
      <c r="B70" s="130">
        <v>287</v>
      </c>
      <c r="C70" s="131">
        <f>289-2</f>
        <v>287</v>
      </c>
      <c r="D70" s="107">
        <f>19.2+1.5+170.6+1.2+17.7+0.1+11+3+9.5-0.1+2.3-0.1+50</f>
        <v>285.9</v>
      </c>
      <c r="E70" s="109">
        <f>D70/D69*100</f>
        <v>97.77701778385773</v>
      </c>
      <c r="F70" s="109">
        <f t="shared" si="7"/>
        <v>99.61672473867596</v>
      </c>
      <c r="G70" s="109">
        <f t="shared" si="5"/>
        <v>99.61672473867596</v>
      </c>
      <c r="H70" s="107">
        <f t="shared" si="8"/>
        <v>1.1000000000000227</v>
      </c>
      <c r="I70" s="107">
        <f t="shared" si="6"/>
        <v>1.1000000000000227</v>
      </c>
      <c r="K70" s="158"/>
    </row>
    <row r="71" spans="1:11" s="94" customFormat="1" ht="18.75" thickBot="1">
      <c r="A71" s="105" t="s">
        <v>9</v>
      </c>
      <c r="B71" s="130">
        <f>103.3-13</f>
        <v>90.3</v>
      </c>
      <c r="C71" s="131">
        <f>267.3-68.6-27.9+0.7-15-6.9-19.6-19.5-7.2-13-9.7</f>
        <v>80.6</v>
      </c>
      <c r="D71" s="107">
        <f>6.5</f>
        <v>6.5</v>
      </c>
      <c r="E71" s="109">
        <f>D71/D70*100</f>
        <v>2.273522210563134</v>
      </c>
      <c r="F71" s="109">
        <f t="shared" si="7"/>
        <v>7.198228128460688</v>
      </c>
      <c r="G71" s="109">
        <f t="shared" si="5"/>
        <v>8.06451612903226</v>
      </c>
      <c r="H71" s="107">
        <f t="shared" si="8"/>
        <v>83.8</v>
      </c>
      <c r="I71" s="107">
        <f t="shared" si="6"/>
        <v>74.1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v>912.9</v>
      </c>
      <c r="C77" s="54">
        <f>10000-100-5823.7-1513.4-150-1500</f>
        <v>912.9000000000001</v>
      </c>
      <c r="D77" s="55"/>
      <c r="E77" s="35"/>
      <c r="F77" s="35"/>
      <c r="G77" s="35"/>
      <c r="H77" s="55">
        <f>B77-D77</f>
        <v>912.9</v>
      </c>
      <c r="I77" s="55">
        <f t="shared" si="6"/>
        <v>912.9000000000001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D79/D151*100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.75" hidden="1" thickBot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3" hidden="1" thickBot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D84/D151*100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D87/D151*100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144216.9-100.4</f>
        <v>144116.5</v>
      </c>
      <c r="C90" s="40">
        <f>157960+265+0.3+29.6-699.4-2295.4+0.1-89.4+283.1+122</f>
        <v>155575.90000000002</v>
      </c>
      <c r="D90" s="41">
        <f>9132+22+15.6+311.1+1694.5+1935.1+26.3+25.9+120.2+243.3+17.1+315.3+665.2+1876.2+71.1+29.7+42.5+5.2+78+29.4+120.4+583.5+424.3+1056.1+1600.5+1348.3+1.6+115.2+57.4+81.5+117.5+469.2+2458.4+19.3+11.7+43.2+14.5+24.7+36.9+2714.6+1422.3+73.5+89.9+1+1227.5+1388.6+65.7+40.2+39.6+25.7+4.6+117.3+27.8+253.2+3245.1+1249.1+6.8+69.3+21.8+23.3+4+47.2+982.2+4710.8+65.4+61.7+43.9+39+207.9+26.2+429.1+6414+3323.9+36.6+8.4+212.3+70.1+36.6+7.2+110.1+1542.8+2778.2+782.7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+10.7+47.5+12.2+73.8+40.8+9.2+78.7+1446.7+8107.4+252.8+105.8+59.7+55.8+883.4+158.4+171.4+32.9+6460.7+178+98.2+108.6+100.7+446.1+385.4+1509.5+8000.4</f>
        <v>153248.39999999997</v>
      </c>
      <c r="E90" s="3">
        <f>D90/D151*100</f>
        <v>8.190285103460813</v>
      </c>
      <c r="F90" s="3">
        <f aca="true" t="shared" si="11" ref="F90:F96">D90/B90*100</f>
        <v>106.3364708412985</v>
      </c>
      <c r="G90" s="3">
        <f t="shared" si="9"/>
        <v>98.5039456625351</v>
      </c>
      <c r="H90" s="41">
        <f aca="true" t="shared" si="12" ref="H90:H96">B90-D90</f>
        <v>-9131.899999999965</v>
      </c>
      <c r="I90" s="41">
        <f t="shared" si="10"/>
        <v>2327.500000000058</v>
      </c>
      <c r="J90" s="94"/>
      <c r="K90" s="158"/>
    </row>
    <row r="91" spans="1:11" s="94" customFormat="1" ht="18">
      <c r="A91" s="105" t="s">
        <v>3</v>
      </c>
      <c r="B91" s="130">
        <f>133674.2-170.4</f>
        <v>133503.80000000002</v>
      </c>
      <c r="C91" s="131">
        <f>148246.2-137.7-228.3-64.5-80-812.7-2843.9-159.4-19.2+244</f>
        <v>144144.5</v>
      </c>
      <c r="D91" s="107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+69.1+9.2+1283.8+8040.9+6.2+33+50.6+41.7+864.1+151.6+13.8+6376.4+12.2+2.1+278.1+14.7+1304.5+7586.9</f>
        <v>142825.80000000005</v>
      </c>
      <c r="E91" s="109">
        <f>D91/D90*100</f>
        <v>93.19888494757535</v>
      </c>
      <c r="F91" s="109">
        <f t="shared" si="11"/>
        <v>106.9825727806999</v>
      </c>
      <c r="G91" s="109">
        <f t="shared" si="9"/>
        <v>99.08515413352576</v>
      </c>
      <c r="H91" s="107">
        <f t="shared" si="12"/>
        <v>-9322.00000000003</v>
      </c>
      <c r="I91" s="107">
        <f t="shared" si="10"/>
        <v>1318.6999999999534</v>
      </c>
      <c r="K91" s="158"/>
    </row>
    <row r="92" spans="1:11" s="94" customFormat="1" ht="18">
      <c r="A92" s="105" t="s">
        <v>26</v>
      </c>
      <c r="B92" s="130">
        <f>2293.2-3.2</f>
        <v>2290</v>
      </c>
      <c r="C92" s="131">
        <f>2620.6-3.5-122</f>
        <v>2495.1</v>
      </c>
      <c r="D92" s="107">
        <f>48.5+5.1+5+1.3+22.8+67.3+62.7+3.5+1.4+40.6+112.7+571.4+55.5+1.7+2.4+3.1+83.6+0.9+1.4+3.5+0.9+23.5+44.4+1+13.6+0.7+42.8+22.3+44+0.7+4.6+0.7+0.7+13.7+56.1+1.6+31.5+0.9+63.8+4.3+0.9+0.3+18-0.1+60.5+27.6+1.9+44.7+0.9+56.3+197.4+9.8+28.5+1+1+44.4+336.9</f>
        <v>2296.2000000000003</v>
      </c>
      <c r="E92" s="109">
        <f>D92/D90*100</f>
        <v>1.4983516956783893</v>
      </c>
      <c r="F92" s="109">
        <f t="shared" si="11"/>
        <v>100.27074235807862</v>
      </c>
      <c r="G92" s="109">
        <f t="shared" si="9"/>
        <v>92.02837561620778</v>
      </c>
      <c r="H92" s="107">
        <f t="shared" si="12"/>
        <v>-6.200000000000273</v>
      </c>
      <c r="I92" s="107">
        <f t="shared" si="10"/>
        <v>198.89999999999964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8322.699999999983</v>
      </c>
      <c r="C94" s="131">
        <f>C90-C91-C92-C93</f>
        <v>8936.300000000023</v>
      </c>
      <c r="D94" s="131">
        <f>D90-D91-D92-D93</f>
        <v>8126.399999999918</v>
      </c>
      <c r="E94" s="109">
        <f>D94/D90*100</f>
        <v>5.30276335674625</v>
      </c>
      <c r="F94" s="109">
        <f t="shared" si="11"/>
        <v>97.64139041416769</v>
      </c>
      <c r="G94" s="109">
        <f>D94/C94*100</f>
        <v>90.93696496312677</v>
      </c>
      <c r="H94" s="107">
        <f t="shared" si="12"/>
        <v>196.30000000006476</v>
      </c>
      <c r="I94" s="107">
        <f>C94-D94</f>
        <v>809.9000000001051</v>
      </c>
      <c r="K94" s="158"/>
    </row>
    <row r="95" spans="1:11" ht="18">
      <c r="A95" s="83" t="s">
        <v>12</v>
      </c>
      <c r="B95" s="92">
        <f>54462.8-600+643.6</f>
        <v>54506.4</v>
      </c>
      <c r="C95" s="86">
        <f>59880.5+5316.8+172.8+165-3329.3+408.2-3637.6+1814-333.8-460</f>
        <v>59996.6</v>
      </c>
      <c r="D95" s="85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+80+103+282.9+167.6+1135.2+1038.3+8.1+83.4+31.3+431.4+239.1+32.7+66.5+602.2+663.6+249.9+108.8+6152.2</f>
        <v>59623.600000000006</v>
      </c>
      <c r="E95" s="82">
        <f>D95/D151*100</f>
        <v>3.186553875242458</v>
      </c>
      <c r="F95" s="84">
        <f t="shared" si="11"/>
        <v>109.38825532414542</v>
      </c>
      <c r="G95" s="81">
        <f>D95/C95*100</f>
        <v>99.37829810355922</v>
      </c>
      <c r="H95" s="85">
        <f t="shared" si="12"/>
        <v>-5117.200000000004</v>
      </c>
      <c r="I95" s="88">
        <f>C95-D95</f>
        <v>372.9999999999927</v>
      </c>
      <c r="K95" s="158"/>
    </row>
    <row r="96" spans="1:11" s="94" customFormat="1" ht="18.75" thickBot="1">
      <c r="A96" s="133" t="s">
        <v>84</v>
      </c>
      <c r="B96" s="134">
        <f>9573.5-194.8</f>
        <v>9378.7</v>
      </c>
      <c r="C96" s="135">
        <f>10660.3-133.5+11.8+210.8-0.1+588.4+612.9-460</f>
        <v>11490.599999999997</v>
      </c>
      <c r="D96" s="136">
        <f>69.1+1043.7+68.3+1051.8+1+68.3+66.1+938.4+3+68.7+11.3+4.3+734+67.7+6.3+0.4+21.5+2.2+658.8+0.1+17.8+71.8+130.4+525.1+460.8+17+3.6+18.3+567.4+6.6+33.7+842.6+39.7-0.1+76.9+138.3+814.3+78.3+19.7+1.5+77.7+1031.7+3.7+62.3+1+1330.9</f>
        <v>11256.000000000002</v>
      </c>
      <c r="E96" s="137">
        <f>D96/D95*100</f>
        <v>18.878430688519312</v>
      </c>
      <c r="F96" s="138">
        <f t="shared" si="11"/>
        <v>120.01663343533752</v>
      </c>
      <c r="G96" s="139">
        <f>D96/C96*100</f>
        <v>97.95833115764194</v>
      </c>
      <c r="H96" s="140">
        <f t="shared" si="12"/>
        <v>-1877.300000000001</v>
      </c>
      <c r="I96" s="129">
        <f>C96-D96</f>
        <v>234.5999999999949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D98/D151*100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f>9567.4+34.6-21.5</f>
        <v>9580.5</v>
      </c>
      <c r="C102" s="71">
        <f>12999.2-348+46.7-53.7+124.7-124.6+10.7+5.1+0.1+19.5-3.3-2260.1+46.9-33.8-25.3-21.5-8.1</f>
        <v>10374.500000000004</v>
      </c>
      <c r="D102" s="66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+50.1+177+79+7.4+28.5+5.4+45.6+202.4+94.6+39.9+7.6+32.2+127.8+106.9+256.9</f>
        <v>9054.699999999993</v>
      </c>
      <c r="E102" s="17">
        <f>D102/D151*100</f>
        <v>0.483923972624227</v>
      </c>
      <c r="F102" s="17">
        <f>D102/B102*100</f>
        <v>94.51176869683205</v>
      </c>
      <c r="G102" s="17">
        <f aca="true" t="shared" si="14" ref="G102:G149">D102/C102*100</f>
        <v>87.27842305653274</v>
      </c>
      <c r="H102" s="66">
        <f aca="true" t="shared" si="15" ref="H102:H107">B102-D102</f>
        <v>525.8000000000065</v>
      </c>
      <c r="I102" s="66">
        <f aca="true" t="shared" si="16" ref="I102:I149">C102-D102</f>
        <v>1319.8000000000102</v>
      </c>
      <c r="K102" s="158"/>
    </row>
    <row r="103" spans="1:11" s="94" customFormat="1" ht="18.75" customHeight="1">
      <c r="A103" s="105" t="s">
        <v>3</v>
      </c>
      <c r="B103" s="122">
        <v>259.1</v>
      </c>
      <c r="C103" s="123">
        <v>259.1</v>
      </c>
      <c r="D103" s="123">
        <f>17.3+10+11+0.1+10.9+18.9+0.1+11+25.2+18.3+2.4+10.6+13.7+13.9+13.8+13+14.1+22+11.1+19.5</f>
        <v>256.9</v>
      </c>
      <c r="E103" s="124">
        <f>D103/D102*100</f>
        <v>2.8372005698697933</v>
      </c>
      <c r="F103" s="109">
        <f>D103/B103*100</f>
        <v>99.15090698571977</v>
      </c>
      <c r="G103" s="124">
        <f>D103/C103*100</f>
        <v>99.15090698571977</v>
      </c>
      <c r="H103" s="123">
        <f t="shared" si="15"/>
        <v>2.2000000000000455</v>
      </c>
      <c r="I103" s="123">
        <f t="shared" si="16"/>
        <v>2.2000000000000455</v>
      </c>
      <c r="K103" s="158"/>
    </row>
    <row r="104" spans="1:11" s="94" customFormat="1" ht="18">
      <c r="A104" s="125" t="s">
        <v>49</v>
      </c>
      <c r="B104" s="106">
        <f>7553.5-11.6</f>
        <v>7541.9</v>
      </c>
      <c r="C104" s="107">
        <f>10720.8-348+46.7-56.3+125.1-124.6-51.5+5.1+21.6-3.3-2080.6-0.1-23.9-25.3-21.5-8.1</f>
        <v>8176.100000000002</v>
      </c>
      <c r="D104" s="107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+40.7+160.4+45.6+202.3+65+7+51.4+37.5+248.5</f>
        <v>6962.5999999999985</v>
      </c>
      <c r="E104" s="109">
        <f>D104/D102*100</f>
        <v>76.89487227627644</v>
      </c>
      <c r="F104" s="109">
        <f aca="true" t="shared" si="17" ref="F104:F149">D104/B104*100</f>
        <v>92.3189116800806</v>
      </c>
      <c r="G104" s="109">
        <f t="shared" si="14"/>
        <v>85.15796039676614</v>
      </c>
      <c r="H104" s="107">
        <f t="shared" si="15"/>
        <v>579.3000000000011</v>
      </c>
      <c r="I104" s="107">
        <f t="shared" si="16"/>
        <v>1213.5000000000036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1779.5</v>
      </c>
      <c r="C106" s="127">
        <f>C102-C103-C104</f>
        <v>1939.300000000001</v>
      </c>
      <c r="D106" s="127">
        <f>D102-D103-D104</f>
        <v>1835.1999999999953</v>
      </c>
      <c r="E106" s="128">
        <f>D106/D102*100</f>
        <v>20.267927153853762</v>
      </c>
      <c r="F106" s="128">
        <f t="shared" si="17"/>
        <v>103.13009272267463</v>
      </c>
      <c r="G106" s="128">
        <f t="shared" si="14"/>
        <v>94.63208374155595</v>
      </c>
      <c r="H106" s="129">
        <f>B106-D106</f>
        <v>-55.69999999999527</v>
      </c>
      <c r="I106" s="129">
        <f t="shared" si="16"/>
        <v>104.10000000000582</v>
      </c>
      <c r="K106" s="158"/>
    </row>
    <row r="107" spans="1:12" s="2" customFormat="1" ht="26.25" customHeight="1" thickBot="1">
      <c r="A107" s="67" t="s">
        <v>29</v>
      </c>
      <c r="B107" s="68">
        <f>SUM(B108:B148)-B115-B119+B149-B140-B141-B109-B112-B122-B123-B138-B131-B129-B136</f>
        <v>468914.2</v>
      </c>
      <c r="C107" s="68">
        <f>SUM(C108:C148)-C115-C119+C149-C140-C141-C109-C112-C122-C123-C138-C131-C129-C136</f>
        <v>561050.3</v>
      </c>
      <c r="D107" s="68">
        <f>SUM(D108:D148)-D115-D119+D149-D140-D141-D109-D112-D122-D123-D138-D131-D129-D136</f>
        <v>539163.9000000001</v>
      </c>
      <c r="E107" s="69">
        <f>D107/D151*100</f>
        <v>28.815348535409424</v>
      </c>
      <c r="F107" s="69">
        <f>D107/B107*100</f>
        <v>114.98135479795666</v>
      </c>
      <c r="G107" s="69">
        <f t="shared" si="14"/>
        <v>96.09903069296996</v>
      </c>
      <c r="H107" s="68">
        <f t="shared" si="15"/>
        <v>-70249.70000000013</v>
      </c>
      <c r="I107" s="68">
        <f t="shared" si="16"/>
        <v>21886.399999999907</v>
      </c>
      <c r="K107" s="158"/>
      <c r="L107" s="97"/>
    </row>
    <row r="108" spans="1:12" s="94" customFormat="1" ht="36.75">
      <c r="A108" s="98" t="s">
        <v>53</v>
      </c>
      <c r="B108" s="99">
        <v>3628.9</v>
      </c>
      <c r="C108" s="100">
        <v>4095.6</v>
      </c>
      <c r="D108" s="101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+0.3+7.4+146.4+2.2+75.4+25.4+24.1+45.9+40.6+303.7</f>
        <v>2563.3</v>
      </c>
      <c r="E108" s="102">
        <f>D108/D107*100</f>
        <v>0.47542129582488735</v>
      </c>
      <c r="F108" s="102">
        <f t="shared" si="17"/>
        <v>70.63572983548734</v>
      </c>
      <c r="G108" s="102">
        <f t="shared" si="14"/>
        <v>62.58667838656119</v>
      </c>
      <c r="H108" s="103">
        <f aca="true" t="shared" si="18" ref="H108:H149">B108-D108</f>
        <v>1065.6</v>
      </c>
      <c r="I108" s="103">
        <f t="shared" si="16"/>
        <v>1532.2999999999997</v>
      </c>
      <c r="K108" s="158"/>
      <c r="L108" s="104"/>
    </row>
    <row r="109" spans="1:12" s="94" customFormat="1" ht="18">
      <c r="A109" s="105" t="s">
        <v>26</v>
      </c>
      <c r="B109" s="106">
        <f>2284.3-219.1</f>
        <v>2065.2000000000003</v>
      </c>
      <c r="C109" s="107">
        <f>2633.8-219.1</f>
        <v>2414.7000000000003</v>
      </c>
      <c r="D109" s="108">
        <f>68.3+138.7+47.8+60.9+18.1+30+81.4+40.6+14.7+2.7+31.2+33.2+49.1+0.8+32+30.3+35.6+3.1+119.4+152.8</f>
        <v>990.7</v>
      </c>
      <c r="E109" s="109">
        <f>D109/D108*100</f>
        <v>38.6493972613428</v>
      </c>
      <c r="F109" s="109">
        <f t="shared" si="17"/>
        <v>47.971140809606815</v>
      </c>
      <c r="G109" s="109">
        <f t="shared" si="14"/>
        <v>41.0278709570547</v>
      </c>
      <c r="H109" s="107">
        <f t="shared" si="18"/>
        <v>1074.5000000000002</v>
      </c>
      <c r="I109" s="107">
        <f t="shared" si="16"/>
        <v>1424.0000000000002</v>
      </c>
      <c r="K109" s="158"/>
      <c r="L109" s="104"/>
    </row>
    <row r="110" spans="1:12" s="94" customFormat="1" ht="34.5" customHeight="1">
      <c r="A110" s="110" t="s">
        <v>79</v>
      </c>
      <c r="B110" s="111">
        <v>1087.2</v>
      </c>
      <c r="C110" s="103">
        <v>1175.4</v>
      </c>
      <c r="D110" s="101">
        <f>11.8+87.5+28+44.4+7.5+8.9+32.2+39.5+59.2+220.2+6.2+18.8+4.5+75.4+41+129.5+137+4.7+48.1</f>
        <v>1004.4000000000001</v>
      </c>
      <c r="E110" s="102">
        <f>D110/D107*100</f>
        <v>0.18628843659599612</v>
      </c>
      <c r="F110" s="102">
        <f>D110/B110*100</f>
        <v>92.3841059602649</v>
      </c>
      <c r="G110" s="102">
        <f t="shared" si="14"/>
        <v>85.45176110260337</v>
      </c>
      <c r="H110" s="103">
        <f t="shared" si="18"/>
        <v>82.79999999999995</v>
      </c>
      <c r="I110" s="103">
        <f t="shared" si="16"/>
        <v>171</v>
      </c>
      <c r="K110" s="158"/>
      <c r="L110" s="104"/>
    </row>
    <row r="111" spans="1:12" s="95" customFormat="1" ht="34.5" customHeight="1">
      <c r="A111" s="110" t="s">
        <v>97</v>
      </c>
      <c r="B111" s="111">
        <f>196.7-39</f>
        <v>157.7</v>
      </c>
      <c r="C111" s="112">
        <f>196.7-39-52.7-65</f>
        <v>39.999999999999986</v>
      </c>
      <c r="D111" s="113">
        <f>2+2</f>
        <v>4</v>
      </c>
      <c r="E111" s="102">
        <f>D111/D107*100</f>
        <v>0.0007418894328793153</v>
      </c>
      <c r="F111" s="114">
        <f t="shared" si="17"/>
        <v>2.5364616360177554</v>
      </c>
      <c r="G111" s="102">
        <f t="shared" si="14"/>
        <v>10.000000000000004</v>
      </c>
      <c r="H111" s="103">
        <f t="shared" si="18"/>
        <v>153.7</v>
      </c>
      <c r="I111" s="103">
        <f t="shared" si="16"/>
        <v>35.999999999999986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>
      <c r="A113" s="110" t="s">
        <v>93</v>
      </c>
      <c r="B113" s="111">
        <v>60</v>
      </c>
      <c r="C113" s="103">
        <v>60</v>
      </c>
      <c r="D113" s="101">
        <f>9.1+9.1+9.8+2.5+3.7+4.2+3.7+0.9+11.3</f>
        <v>54.30000000000001</v>
      </c>
      <c r="E113" s="102">
        <f>D113/D107*100</f>
        <v>0.010071149051336709</v>
      </c>
      <c r="F113" s="102">
        <f t="shared" si="17"/>
        <v>90.50000000000001</v>
      </c>
      <c r="G113" s="102">
        <f t="shared" si="14"/>
        <v>90.50000000000001</v>
      </c>
      <c r="H113" s="103">
        <f t="shared" si="18"/>
        <v>5.699999999999989</v>
      </c>
      <c r="I113" s="103">
        <f t="shared" si="16"/>
        <v>5.699999999999989</v>
      </c>
      <c r="K113" s="158"/>
      <c r="L113" s="104"/>
    </row>
    <row r="114" spans="1:12" s="94" customFormat="1" ht="36.75">
      <c r="A114" s="110" t="s">
        <v>39</v>
      </c>
      <c r="B114" s="111">
        <v>2739</v>
      </c>
      <c r="C114" s="103">
        <f>2915.4+6.2+77.9</f>
        <v>2999.5</v>
      </c>
      <c r="D114" s="101">
        <f>136.4+40+10+2+0.1+10.6+142+54.3+10.6+6.6+21.9+41.3+8.2+239.5+0.2+6.2+0.7+26.9+145.7+54.9+4+2+1.1+3.5+2.2+195.9+3.8+0.4+0.2+181.5+10+1.7+7.3+203.7+0.2+6.2+185.1+14.5+72+29.1+0.3+192.4+4.9+207.6+0.5+22.4+3.1+223.4+2.3+5.6+0.9+3.4+11.1+6.4+33.2+119.2+21.5+107.1+6.4</f>
        <v>2854.2000000000003</v>
      </c>
      <c r="E114" s="102">
        <f>D114/D107*100</f>
        <v>0.5293752048310355</v>
      </c>
      <c r="F114" s="102">
        <f t="shared" si="17"/>
        <v>104.20591456736037</v>
      </c>
      <c r="G114" s="102">
        <f t="shared" si="14"/>
        <v>95.15585930988499</v>
      </c>
      <c r="H114" s="103">
        <f t="shared" si="18"/>
        <v>-115.20000000000027</v>
      </c>
      <c r="I114" s="103">
        <f t="shared" si="16"/>
        <v>145.29999999999973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94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f>199-80-70</f>
        <v>49</v>
      </c>
      <c r="C117" s="103">
        <f>99+100-80-70</f>
        <v>49</v>
      </c>
      <c r="D117" s="101">
        <f>18</f>
        <v>18</v>
      </c>
      <c r="E117" s="102">
        <f>D117/D107*100</f>
        <v>0.003338502447956919</v>
      </c>
      <c r="F117" s="102">
        <f>D117/B117*100</f>
        <v>36.734693877551024</v>
      </c>
      <c r="G117" s="102">
        <f t="shared" si="14"/>
        <v>36.734693877551024</v>
      </c>
      <c r="H117" s="103">
        <f t="shared" si="18"/>
        <v>31</v>
      </c>
      <c r="I117" s="103">
        <f t="shared" si="16"/>
        <v>31</v>
      </c>
      <c r="K117" s="158"/>
      <c r="L117" s="104"/>
    </row>
    <row r="118" spans="1:12" s="117" customFormat="1" ht="18">
      <c r="A118" s="110" t="s">
        <v>15</v>
      </c>
      <c r="B118" s="111">
        <f>380+39+39</f>
        <v>458</v>
      </c>
      <c r="C118" s="112">
        <f>422.8+39+39</f>
        <v>500.8</v>
      </c>
      <c r="D118" s="101">
        <f>39+5+6.2+39.1+4.9+0.4+0.8+39+0.1+5.5+0.9+39+4.8+1.3+39-0.1+0.8+0.4+5+0.8+5.1+0.2+0.4+2.2+3.5+39+0.4+3+0.8+39+6+0.3-0.1+1.1+39+1.7+0.4+0.8-0.6+2.1+39+1.3+4.2+0.8+39</f>
        <v>460.50000000000006</v>
      </c>
      <c r="E118" s="102">
        <f>D118/D107*100</f>
        <v>0.08541002096023119</v>
      </c>
      <c r="F118" s="102">
        <f t="shared" si="17"/>
        <v>100.54585152838429</v>
      </c>
      <c r="G118" s="102">
        <f t="shared" si="14"/>
        <v>91.95287539936103</v>
      </c>
      <c r="H118" s="103">
        <f t="shared" si="18"/>
        <v>-2.500000000000057</v>
      </c>
      <c r="I118" s="103">
        <f t="shared" si="16"/>
        <v>40.299999999999955</v>
      </c>
      <c r="K118" s="158"/>
      <c r="L118" s="104"/>
    </row>
    <row r="119" spans="1:12" s="118" customFormat="1" ht="18">
      <c r="A119" s="115" t="s">
        <v>44</v>
      </c>
      <c r="B119" s="106">
        <f>312.3+39</f>
        <v>351.3</v>
      </c>
      <c r="C119" s="107">
        <f>351.4+39</f>
        <v>390.4</v>
      </c>
      <c r="D119" s="108">
        <f>39+39.1+39+39.1+39+39+39+39+39+39</f>
        <v>390.2</v>
      </c>
      <c r="E119" s="109">
        <f>D119/D118*100</f>
        <v>84.73398479913136</v>
      </c>
      <c r="F119" s="109">
        <f t="shared" si="17"/>
        <v>111.07315684600056</v>
      </c>
      <c r="G119" s="109">
        <f t="shared" si="14"/>
        <v>99.94877049180329</v>
      </c>
      <c r="H119" s="107">
        <f t="shared" si="18"/>
        <v>-38.89999999999998</v>
      </c>
      <c r="I119" s="107">
        <f t="shared" si="16"/>
        <v>0.19999999999998863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98</v>
      </c>
      <c r="B121" s="111">
        <f>520-339</f>
        <v>181</v>
      </c>
      <c r="C121" s="112">
        <f>520-339</f>
        <v>181</v>
      </c>
      <c r="D121" s="113">
        <f>49.4+11+30.6+15.4</f>
        <v>106.4</v>
      </c>
      <c r="E121" s="116">
        <f>D121/D107*100</f>
        <v>0.01973425891458979</v>
      </c>
      <c r="F121" s="102">
        <f t="shared" si="17"/>
        <v>58.78453038674033</v>
      </c>
      <c r="G121" s="102">
        <f t="shared" si="14"/>
        <v>58.78453038674033</v>
      </c>
      <c r="H121" s="103">
        <f t="shared" si="18"/>
        <v>74.6</v>
      </c>
      <c r="I121" s="103">
        <f t="shared" si="16"/>
        <v>74.6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99</v>
      </c>
      <c r="B124" s="111">
        <v>38352.8</v>
      </c>
      <c r="C124" s="112">
        <f>33585.8+9933.2-1212.8-350-61.4+460.5</f>
        <v>42355.299999999996</v>
      </c>
      <c r="D124" s="113">
        <f>3483.8+2635.6+1853.3+812.9+1333.3+1694.1+1722.4+661.9+934+1328+225+1781.5+1097.2+0.1+1902.6+1343+1822.5+1392+1771.1+3307.3+1386.4+2307.7+1782.5+2255.1+2689.6</f>
        <v>41522.899999999994</v>
      </c>
      <c r="E124" s="116">
        <f>D124/D107*100</f>
        <v>7.701350183126129</v>
      </c>
      <c r="F124" s="102">
        <f t="shared" si="17"/>
        <v>108.26562858513586</v>
      </c>
      <c r="G124" s="102">
        <f t="shared" si="14"/>
        <v>98.03472056625735</v>
      </c>
      <c r="H124" s="103">
        <f t="shared" si="18"/>
        <v>-3170.0999999999913</v>
      </c>
      <c r="I124" s="103">
        <f t="shared" si="16"/>
        <v>832.4000000000015</v>
      </c>
      <c r="K124" s="158"/>
      <c r="L124" s="104"/>
    </row>
    <row r="125" spans="1:12" s="117" customFormat="1" ht="18">
      <c r="A125" s="110" t="s">
        <v>95</v>
      </c>
      <c r="B125" s="111">
        <f>695-4.6</f>
        <v>690.4</v>
      </c>
      <c r="C125" s="112">
        <f>585+110-4.6-96</f>
        <v>594.4</v>
      </c>
      <c r="D125" s="113">
        <f>10+6+64.3+10.6</f>
        <v>90.89999999999999</v>
      </c>
      <c r="E125" s="116">
        <f>D125/D107*100</f>
        <v>0.016859437362182438</v>
      </c>
      <c r="F125" s="102">
        <f t="shared" si="17"/>
        <v>13.166280417149478</v>
      </c>
      <c r="G125" s="102">
        <f t="shared" si="14"/>
        <v>15.292732166890982</v>
      </c>
      <c r="H125" s="103">
        <f t="shared" si="18"/>
        <v>599.5</v>
      </c>
      <c r="I125" s="103">
        <f t="shared" si="16"/>
        <v>503.5</v>
      </c>
      <c r="K125" s="158"/>
      <c r="L125" s="104"/>
    </row>
    <row r="126" spans="1:12" s="117" customFormat="1" ht="36.75">
      <c r="A126" s="110" t="s">
        <v>104</v>
      </c>
      <c r="B126" s="111">
        <v>200</v>
      </c>
      <c r="C126" s="112">
        <v>200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200</v>
      </c>
      <c r="I126" s="103">
        <f t="shared" si="16"/>
        <v>200</v>
      </c>
      <c r="K126" s="158"/>
      <c r="L126" s="104"/>
    </row>
    <row r="127" spans="1:12" s="117" customFormat="1" ht="36.75">
      <c r="A127" s="110" t="s">
        <v>86</v>
      </c>
      <c r="B127" s="111">
        <v>81.6</v>
      </c>
      <c r="C127" s="112">
        <v>81.6</v>
      </c>
      <c r="D127" s="113">
        <f>19.7+39.1</f>
        <v>58.8</v>
      </c>
      <c r="E127" s="116">
        <f>D127/D107*100</f>
        <v>0.010905774663325936</v>
      </c>
      <c r="F127" s="102">
        <f t="shared" si="17"/>
        <v>72.05882352941177</v>
      </c>
      <c r="G127" s="102">
        <f t="shared" si="14"/>
        <v>72.05882352941177</v>
      </c>
      <c r="H127" s="103">
        <f t="shared" si="18"/>
        <v>22.799999999999997</v>
      </c>
      <c r="I127" s="103">
        <f t="shared" si="16"/>
        <v>22.799999999999997</v>
      </c>
      <c r="K127" s="158"/>
      <c r="L127" s="104"/>
    </row>
    <row r="128" spans="1:12" s="117" customFormat="1" ht="36.75">
      <c r="A128" s="110" t="s">
        <v>58</v>
      </c>
      <c r="B128" s="111">
        <f>1075.3-100</f>
        <v>975.3</v>
      </c>
      <c r="C128" s="112">
        <f>1253.3-100</f>
        <v>1153.3</v>
      </c>
      <c r="D128" s="113">
        <f>6.5+6.7+0.9+10.2+6.4+2.4+29+2.5+26.7+1.1+7.5+20.9+3.3+0.1+0.6+54.3+6.4+19+6.4-0.2+0.9+1+0.1+24+11.8+60.3+1.8+4+2+10.5+0.5+0.1+1.1+56.8+0.1-0.1+8.7+10.4+6.4+43.4+6.5+23.9+0.2+0.1+0.2+49.2+6.4+42.1+25.3+43.2+0.1+0.1-0.2+1.2+6.7+6.6+19.2+0.1+0.5+6.3+90.2+213.8+49.8</f>
        <v>1046.0000000000002</v>
      </c>
      <c r="E128" s="116">
        <f>D128/D107*100</f>
        <v>0.194004086697941</v>
      </c>
      <c r="F128" s="102">
        <f t="shared" si="17"/>
        <v>107.24905157387474</v>
      </c>
      <c r="G128" s="102">
        <f t="shared" si="14"/>
        <v>90.69626289777165</v>
      </c>
      <c r="H128" s="103">
        <f t="shared" si="18"/>
        <v>-70.70000000000027</v>
      </c>
      <c r="I128" s="103">
        <f t="shared" si="16"/>
        <v>107.29999999999973</v>
      </c>
      <c r="K128" s="158"/>
      <c r="L128" s="104"/>
    </row>
    <row r="129" spans="1:12" s="118" customFormat="1" ht="18">
      <c r="A129" s="105" t="s">
        <v>89</v>
      </c>
      <c r="B129" s="106">
        <v>285.6</v>
      </c>
      <c r="C129" s="107">
        <f>459.6-80.2</f>
        <v>379.40000000000003</v>
      </c>
      <c r="D129" s="108">
        <f>6.4+6.4+6.4+6.4+6.4+24+6.4+56.8+6.4+6.4+6.5+42.1+6.4+42.1+25.3+25.3+6.4+49.2+44.1</f>
        <v>379.4</v>
      </c>
      <c r="E129" s="109">
        <f>D129/D128*100</f>
        <v>36.271510516252384</v>
      </c>
      <c r="F129" s="109">
        <f>D129/B129*100</f>
        <v>132.84313725490193</v>
      </c>
      <c r="G129" s="109">
        <f t="shared" si="14"/>
        <v>99.99999999999999</v>
      </c>
      <c r="H129" s="107">
        <f t="shared" si="18"/>
        <v>-93.79999999999995</v>
      </c>
      <c r="I129" s="107">
        <f t="shared" si="16"/>
        <v>0</v>
      </c>
      <c r="K129" s="158"/>
      <c r="L129" s="104"/>
    </row>
    <row r="130" spans="1:12" s="117" customFormat="1" ht="36.75">
      <c r="A130" s="110" t="s">
        <v>107</v>
      </c>
      <c r="B130" s="111">
        <v>200</v>
      </c>
      <c r="C130" s="112">
        <v>200</v>
      </c>
      <c r="D130" s="113">
        <f>180+20</f>
        <v>200</v>
      </c>
      <c r="E130" s="116">
        <f>D130/D107*100</f>
        <v>0.037094471643965767</v>
      </c>
      <c r="F130" s="114">
        <f t="shared" si="17"/>
        <v>100</v>
      </c>
      <c r="G130" s="102">
        <f t="shared" si="14"/>
        <v>100</v>
      </c>
      <c r="H130" s="103">
        <f t="shared" si="18"/>
        <v>0</v>
      </c>
      <c r="I130" s="103">
        <f t="shared" si="16"/>
        <v>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>
      <c r="A132" s="110" t="s">
        <v>106</v>
      </c>
      <c r="B132" s="111">
        <v>190</v>
      </c>
      <c r="C132" s="112">
        <v>190</v>
      </c>
      <c r="D132" s="113"/>
      <c r="E132" s="116">
        <f>D132/D107*100</f>
        <v>0</v>
      </c>
      <c r="F132" s="102">
        <f t="shared" si="17"/>
        <v>0</v>
      </c>
      <c r="G132" s="102">
        <f t="shared" si="14"/>
        <v>0</v>
      </c>
      <c r="H132" s="103">
        <f t="shared" si="18"/>
        <v>190</v>
      </c>
      <c r="I132" s="103">
        <f>C132-D132</f>
        <v>190</v>
      </c>
      <c r="K132" s="158"/>
      <c r="L132" s="104"/>
    </row>
    <row r="133" spans="1:12" s="117" customFormat="1" ht="21.75" customHeight="1">
      <c r="A133" s="110" t="s">
        <v>105</v>
      </c>
      <c r="B133" s="111">
        <v>926.2</v>
      </c>
      <c r="C133" s="112">
        <f>1+925.2</f>
        <v>926.2</v>
      </c>
      <c r="D133" s="113">
        <f>926.2</f>
        <v>926.2</v>
      </c>
      <c r="E133" s="116">
        <f>D133/D107*100</f>
        <v>0.1717844981832055</v>
      </c>
      <c r="F133" s="102">
        <f t="shared" si="17"/>
        <v>100</v>
      </c>
      <c r="G133" s="102">
        <f t="shared" si="14"/>
        <v>100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v>349.1</v>
      </c>
      <c r="C134" s="112">
        <f>108.1+250</f>
        <v>358.1</v>
      </c>
      <c r="D134" s="113">
        <f>3.8+10.3+1.3+2+1.7+6.8+34.3+6.4+6.5+18.5+109.2+13.4+8.1+31+36.5</f>
        <v>289.8</v>
      </c>
      <c r="E134" s="116">
        <f>D134/D107*100</f>
        <v>0.05374988941210641</v>
      </c>
      <c r="F134" s="102">
        <f t="shared" si="17"/>
        <v>83.01346319106273</v>
      </c>
      <c r="G134" s="102">
        <f t="shared" si="14"/>
        <v>80.92711533091315</v>
      </c>
      <c r="H134" s="103">
        <f t="shared" si="18"/>
        <v>59.30000000000001</v>
      </c>
      <c r="I134" s="103">
        <f t="shared" si="16"/>
        <v>68.30000000000001</v>
      </c>
      <c r="K134" s="158"/>
      <c r="L134" s="104"/>
    </row>
    <row r="135" spans="1:12" s="117" customFormat="1" ht="39" customHeight="1">
      <c r="A135" s="110" t="s">
        <v>55</v>
      </c>
      <c r="B135" s="111">
        <v>310</v>
      </c>
      <c r="C135" s="112">
        <f>626.8-200</f>
        <v>426.79999999999995</v>
      </c>
      <c r="D135" s="113">
        <f>1.2+14.1+4+6.1+23.5+26.4+39.6+8.2+10.7+110</f>
        <v>243.8</v>
      </c>
      <c r="E135" s="116">
        <f>D135/D107*100</f>
        <v>0.04521816093399427</v>
      </c>
      <c r="F135" s="102">
        <f t="shared" si="17"/>
        <v>78.64516129032259</v>
      </c>
      <c r="G135" s="102">
        <f t="shared" si="14"/>
        <v>57.12277413308342</v>
      </c>
      <c r="H135" s="103">
        <f t="shared" si="18"/>
        <v>66.19999999999999</v>
      </c>
      <c r="I135" s="103">
        <f t="shared" si="16"/>
        <v>182.99999999999994</v>
      </c>
      <c r="K135" s="158"/>
      <c r="L135" s="104"/>
    </row>
    <row r="136" spans="1:12" s="118" customFormat="1" ht="18">
      <c r="A136" s="105" t="s">
        <v>89</v>
      </c>
      <c r="B136" s="106">
        <v>207.6</v>
      </c>
      <c r="C136" s="107">
        <f>400-142.4</f>
        <v>257.6</v>
      </c>
      <c r="D136" s="108">
        <f>1.2+4+6.1+23.5+26.4+5+8.2+10.7</f>
        <v>85.1</v>
      </c>
      <c r="E136" s="109"/>
      <c r="F136" s="102">
        <f>D136/B136*100</f>
        <v>40.99229287090559</v>
      </c>
      <c r="G136" s="109">
        <f>D136/C136*100</f>
        <v>33.03571428571428</v>
      </c>
      <c r="H136" s="107">
        <f>B136-D136</f>
        <v>122.5</v>
      </c>
      <c r="I136" s="107">
        <f>C136-D136</f>
        <v>172.50000000000003</v>
      </c>
      <c r="K136" s="158"/>
      <c r="L136" s="104"/>
    </row>
    <row r="137" spans="1:12" s="117" customFormat="1" ht="36.75">
      <c r="A137" s="110" t="s">
        <v>85</v>
      </c>
      <c r="B137" s="111">
        <v>348.4</v>
      </c>
      <c r="C137" s="112">
        <v>381.2</v>
      </c>
      <c r="D137" s="113">
        <f>0.5+1.3+15.9+33.5+3+0.6+15.2+1.3+36.5+1.9+0.3+0.3+0.6+5+2+16.5+0.1+0.5+1.2+18.6-0.1+0.3+0.5+0.5+16+2+17.3+2.1+0.4+0.7+25.9+2.2+17.9+2.1+0.8+15.3+2.1+17.5+3.3+2+10.4+0.6+16.6+1.1+0.5+0.3+1.9+0.5+17.7</f>
        <v>333.20000000000005</v>
      </c>
      <c r="E137" s="116">
        <f>D137/D107*100</f>
        <v>0.061799389758846975</v>
      </c>
      <c r="F137" s="102">
        <f>D137/B137*100</f>
        <v>95.63719862227327</v>
      </c>
      <c r="G137" s="102">
        <f>D137/C137*100</f>
        <v>87.40818467995804</v>
      </c>
      <c r="H137" s="103">
        <f t="shared" si="18"/>
        <v>15.199999999999932</v>
      </c>
      <c r="I137" s="103">
        <f t="shared" si="16"/>
        <v>47.99999999999994</v>
      </c>
      <c r="K137" s="158"/>
      <c r="L137" s="104"/>
    </row>
    <row r="138" spans="1:12" s="118" customFormat="1" ht="18">
      <c r="A138" s="105" t="s">
        <v>26</v>
      </c>
      <c r="B138" s="106">
        <v>279.6</v>
      </c>
      <c r="C138" s="107">
        <v>306.1</v>
      </c>
      <c r="D138" s="108">
        <f>15.9+33.5+15.2+36.5+0.3+4.6+16.5-0.1+1.2+16+0.3+16+0.1+16.2+0.3+25.4+16.9+0.3+14.8+17+2.7+10.4+0.5+16.6+17.7</f>
        <v>294.8</v>
      </c>
      <c r="E138" s="109">
        <f>D138/D137*100</f>
        <v>88.47539015606242</v>
      </c>
      <c r="F138" s="109">
        <f t="shared" si="17"/>
        <v>105.43633762517884</v>
      </c>
      <c r="G138" s="109">
        <f>D138/C138*100</f>
        <v>96.30839594903627</v>
      </c>
      <c r="H138" s="107">
        <f t="shared" si="18"/>
        <v>-15.199999999999989</v>
      </c>
      <c r="I138" s="107">
        <f t="shared" si="16"/>
        <v>11.300000000000011</v>
      </c>
      <c r="K138" s="158"/>
      <c r="L138" s="104"/>
    </row>
    <row r="139" spans="1:12" s="117" customFormat="1" ht="18">
      <c r="A139" s="110" t="s">
        <v>100</v>
      </c>
      <c r="B139" s="111">
        <v>1403.7</v>
      </c>
      <c r="C139" s="112">
        <f>1397.4+115.2</f>
        <v>1512.6000000000001</v>
      </c>
      <c r="D139" s="113">
        <f>26+59.9+0.4-0.1+0.1+27.3+5.8+57.7+6.3+46.3+13.6+50.5+6-0.1+43.3+3.1+0.2+52.2+16.7+42.4+4.7+8+55+5.3+39.2+0.5+5+82.1+95.1+0.2+73.5+79.4+74.3-0.2+13.8+17.8+27+18+79.9+50.5+8.2+5.3+54+49.6+16.1+2.6+40.7+15.5+16.9+6.3+25.1+68.5</f>
        <v>1495.4999999999995</v>
      </c>
      <c r="E139" s="116">
        <f>D139/D107*100</f>
        <v>0.27737391171775394</v>
      </c>
      <c r="F139" s="102">
        <f t="shared" si="17"/>
        <v>106.53985894421882</v>
      </c>
      <c r="G139" s="102">
        <f t="shared" si="14"/>
        <v>98.86949623165407</v>
      </c>
      <c r="H139" s="103">
        <f t="shared" si="18"/>
        <v>-91.7999999999995</v>
      </c>
      <c r="I139" s="103">
        <f t="shared" si="16"/>
        <v>17.10000000000059</v>
      </c>
      <c r="K139" s="158"/>
      <c r="L139" s="104"/>
    </row>
    <row r="140" spans="1:12" s="118" customFormat="1" ht="18">
      <c r="A140" s="115" t="s">
        <v>44</v>
      </c>
      <c r="B140" s="106">
        <v>1089.2</v>
      </c>
      <c r="C140" s="107">
        <f>1063.5+115.2</f>
        <v>1178.7</v>
      </c>
      <c r="D140" s="108">
        <f>26+59.9+27.3+57.1-0.1+46.3+42.7-0.1+36.4+51.8+8.5+28+53.1+4.3+35.3+82.1+45.8+73.5+42.3+73.9-0.1+13.8+27+76+32.8+8.2+49+34.3+39.4+11.2+25.1+60.2</f>
        <v>1171</v>
      </c>
      <c r="E140" s="109">
        <f>D140/D139*100</f>
        <v>78.30157138080912</v>
      </c>
      <c r="F140" s="109">
        <f aca="true" t="shared" si="19" ref="F140:F148">D140/B140*100</f>
        <v>107.51009915534337</v>
      </c>
      <c r="G140" s="109">
        <f t="shared" si="14"/>
        <v>99.34673793161957</v>
      </c>
      <c r="H140" s="107">
        <f t="shared" si="18"/>
        <v>-81.79999999999995</v>
      </c>
      <c r="I140" s="107">
        <f t="shared" si="16"/>
        <v>7.7000000000000455</v>
      </c>
      <c r="K140" s="158"/>
      <c r="L140" s="104"/>
    </row>
    <row r="141" spans="1:13" s="118" customFormat="1" ht="18">
      <c r="A141" s="105" t="s">
        <v>26</v>
      </c>
      <c r="B141" s="106">
        <v>33</v>
      </c>
      <c r="C141" s="107">
        <v>37.5</v>
      </c>
      <c r="D141" s="108">
        <f>0.4+5.6+0.6+6+0.1+3.7+0.1+0.4+1+0.3+0.3+0.3+0.2-0.1+0.3+0.4+1.3+4.3+7.3</f>
        <v>32.5</v>
      </c>
      <c r="E141" s="109">
        <f>D141/D139*100</f>
        <v>2.1731862253426955</v>
      </c>
      <c r="F141" s="109">
        <f t="shared" si="19"/>
        <v>98.48484848484848</v>
      </c>
      <c r="G141" s="109">
        <f>D141/C141*100</f>
        <v>86.66666666666667</v>
      </c>
      <c r="H141" s="107">
        <f t="shared" si="18"/>
        <v>0.5</v>
      </c>
      <c r="I141" s="107">
        <f t="shared" si="16"/>
        <v>5</v>
      </c>
      <c r="K141" s="158"/>
      <c r="L141" s="104"/>
      <c r="M141" s="159"/>
    </row>
    <row r="142" spans="1:12" s="117" customFormat="1" ht="33.75" customHeight="1">
      <c r="A142" s="121" t="s">
        <v>57</v>
      </c>
      <c r="B142" s="111">
        <v>896</v>
      </c>
      <c r="C142" s="112">
        <f>200+300+1250+175-1001+52.7</f>
        <v>976.7</v>
      </c>
      <c r="D142" s="113">
        <f>300+200+174+176.9+73.1-0.5</f>
        <v>923.5</v>
      </c>
      <c r="E142" s="116">
        <f>D142/D107*100</f>
        <v>0.17128372281601192</v>
      </c>
      <c r="F142" s="102">
        <f t="shared" si="19"/>
        <v>103.06919642857142</v>
      </c>
      <c r="G142" s="102">
        <f t="shared" si="14"/>
        <v>94.5530869253609</v>
      </c>
      <c r="H142" s="103">
        <f t="shared" si="18"/>
        <v>-27.5</v>
      </c>
      <c r="I142" s="103">
        <f t="shared" si="16"/>
        <v>53.200000000000045</v>
      </c>
      <c r="K142" s="158"/>
      <c r="L142" s="104"/>
    </row>
    <row r="143" spans="1:12" s="117" customFormat="1" ht="18" hidden="1">
      <c r="A143" s="121" t="s">
        <v>96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101</v>
      </c>
      <c r="B144" s="111">
        <f>49072.6-243</f>
        <v>48829.6</v>
      </c>
      <c r="C144" s="112">
        <f>67967+150-2500-1878-220-5896.7+475+3501.1-1013.3-319-8262</f>
        <v>52004.1</v>
      </c>
      <c r="D144" s="113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+370.5+65.4+257.1+991.9+315.5+342.5+526.7+3452+3008.9+149.3</f>
        <v>50394.2</v>
      </c>
      <c r="E144" s="116">
        <f>D144/D107*100</f>
        <v>9.346731114601697</v>
      </c>
      <c r="F144" s="102">
        <f t="shared" si="19"/>
        <v>103.20420400740534</v>
      </c>
      <c r="G144" s="102">
        <f t="shared" si="14"/>
        <v>96.90428254695303</v>
      </c>
      <c r="H144" s="103">
        <f t="shared" si="18"/>
        <v>-1564.5999999999985</v>
      </c>
      <c r="I144" s="103">
        <f t="shared" si="16"/>
        <v>1609.9000000000015</v>
      </c>
      <c r="K144" s="158"/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18">
      <c r="A146" s="110" t="s">
        <v>102</v>
      </c>
      <c r="B146" s="111">
        <v>182.1</v>
      </c>
      <c r="C146" s="112">
        <v>234</v>
      </c>
      <c r="D146" s="113">
        <f>19.2+57.2+56+51.1</f>
        <v>183.5</v>
      </c>
      <c r="E146" s="116">
        <f>D146/D107*100</f>
        <v>0.0340341777333386</v>
      </c>
      <c r="F146" s="102">
        <f t="shared" si="19"/>
        <v>100.76880834706205</v>
      </c>
      <c r="G146" s="102">
        <f t="shared" si="14"/>
        <v>78.41880341880342</v>
      </c>
      <c r="H146" s="103">
        <f t="shared" si="18"/>
        <v>-1.4000000000000057</v>
      </c>
      <c r="I146" s="103">
        <f t="shared" si="16"/>
        <v>50.5</v>
      </c>
      <c r="K146" s="158"/>
      <c r="L146" s="104"/>
    </row>
    <row r="147" spans="1:12" s="117" customFormat="1" ht="18.75" customHeight="1">
      <c r="A147" s="110" t="s">
        <v>78</v>
      </c>
      <c r="B147" s="111">
        <f>9142.1+905.3</f>
        <v>10047.4</v>
      </c>
      <c r="C147" s="112">
        <v>10550.8</v>
      </c>
      <c r="D147" s="113">
        <f>1601.8+39.7+92.5+565.2+121.3+853.6+638.8+424+800.9+24.5+1.5+318.7+33.7+748.2+470.6+626.9+12.3+30.7-0.1+883.3+49.6+651.7+21.2+772.1+23.2+723.2+21.7</f>
        <v>10550.800000000003</v>
      </c>
      <c r="E147" s="116">
        <f>D147/D107*100</f>
        <v>1.9568817571057706</v>
      </c>
      <c r="F147" s="102">
        <f t="shared" si="19"/>
        <v>105.01025140832458</v>
      </c>
      <c r="G147" s="102">
        <f t="shared" si="14"/>
        <v>100.00000000000004</v>
      </c>
      <c r="H147" s="103">
        <f t="shared" si="18"/>
        <v>-503.4000000000033</v>
      </c>
      <c r="I147" s="103">
        <f t="shared" si="16"/>
        <v>0</v>
      </c>
      <c r="K147" s="158"/>
      <c r="L147" s="104"/>
    </row>
    <row r="148" spans="1:12" s="117" customFormat="1" ht="19.5" customHeight="1">
      <c r="A148" s="151" t="s">
        <v>51</v>
      </c>
      <c r="B148" s="152">
        <f>329165+600+159.4-381.7</f>
        <v>329542.7</v>
      </c>
      <c r="C148" s="153">
        <f>376354.8-1000+14285.9-198-200-300-15786.4-2950-2519.8+7938.3-13756.7+0.7-2656+159.4-834.5-346.3+52127.3</f>
        <v>410318.7</v>
      </c>
      <c r="D148" s="154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+3485.9+966.6+120.1+3271+110+3875.7+630.5+124.9+5365.3+2908.8+496.4+658.7+6118.1+1153.3+1541.8+43.5+172.5+218.8+314.5+38147.7</f>
        <v>394354.5000000001</v>
      </c>
      <c r="E148" s="155">
        <f>D148/D107*100</f>
        <v>73.14185908960151</v>
      </c>
      <c r="F148" s="156">
        <f t="shared" si="19"/>
        <v>119.66719335612656</v>
      </c>
      <c r="G148" s="156">
        <f t="shared" si="14"/>
        <v>96.10931697726673</v>
      </c>
      <c r="H148" s="157">
        <f t="shared" si="18"/>
        <v>-64811.800000000105</v>
      </c>
      <c r="I148" s="157">
        <f>C148-D148</f>
        <v>15964.199999999895</v>
      </c>
      <c r="K148" s="158"/>
      <c r="L148" s="104"/>
    </row>
    <row r="149" spans="1:12" s="117" customFormat="1" ht="18">
      <c r="A149" s="110" t="s">
        <v>103</v>
      </c>
      <c r="B149" s="111">
        <v>27028.1</v>
      </c>
      <c r="C149" s="112">
        <v>29485.2</v>
      </c>
      <c r="D149" s="113">
        <f>819+819+819.1+819+819+819.1+819+819+819.1+819+819+819.1+819.1+819+819+819+819.1+819+819+819+819.1+819+819+819.1+819+819+819.1+819+819+819.1+819+819+819.1+819+819+819.1</f>
        <v>29485.199999999993</v>
      </c>
      <c r="E149" s="116">
        <f>D149/D107*100</f>
        <v>5.468689576583296</v>
      </c>
      <c r="F149" s="102">
        <f t="shared" si="17"/>
        <v>109.09090909090908</v>
      </c>
      <c r="G149" s="102">
        <f t="shared" si="14"/>
        <v>99.99999999999997</v>
      </c>
      <c r="H149" s="103">
        <f t="shared" si="18"/>
        <v>-2457.099999999995</v>
      </c>
      <c r="I149" s="103">
        <f t="shared" si="16"/>
        <v>0</v>
      </c>
      <c r="K149" s="158"/>
      <c r="L149" s="104"/>
    </row>
    <row r="150" spans="1:12" s="2" customFormat="1" ht="18.75" thickBot="1">
      <c r="A150" s="29" t="s">
        <v>30</v>
      </c>
      <c r="B150" s="64">
        <f>B43+B69+B72+B77+B79+B87+B102+B107+B100+B84+B98</f>
        <v>481870.9</v>
      </c>
      <c r="C150" s="64">
        <f>C43+C69+C72+C77+C79+C87+C102+C107+C100+C84+C98</f>
        <v>574852.3</v>
      </c>
      <c r="D150" s="45">
        <f>D43+D69+D72+D77+D79+D87+D102+D107+D100+D84+D98</f>
        <v>550016.7000000002</v>
      </c>
      <c r="E150" s="15"/>
      <c r="F150" s="15"/>
      <c r="G150" s="6"/>
      <c r="H150" s="53"/>
      <c r="I150" s="45"/>
      <c r="K150" s="158"/>
      <c r="L150" s="33"/>
    </row>
    <row r="151" spans="1:12" ht="18.75" thickBot="1">
      <c r="A151" s="12" t="s">
        <v>18</v>
      </c>
      <c r="B151" s="41">
        <f>B6+B18+B33+B43+B51+B59+B69+B72+B77+B79+B87+B90+B95+B102+B107+B100+B84+B98+B45</f>
        <v>1713556.7899999998</v>
      </c>
      <c r="C151" s="41">
        <f>C6+C18+C33+C43+C51+C59+C69+C72+C77+C79+C87+C90+C95+C102+C107+C100+C84+C98+C45</f>
        <v>1924810.2</v>
      </c>
      <c r="D151" s="41">
        <f>D6+D18+D33+D43+D51+D59+D69+D72+D77+D79+D87+D90+D95+D102+D107+D100+D84+D98+D45</f>
        <v>1871099.7</v>
      </c>
      <c r="E151" s="28">
        <v>100</v>
      </c>
      <c r="F151" s="3">
        <f>D151/B151*100</f>
        <v>109.1939123885121</v>
      </c>
      <c r="G151" s="3">
        <f aca="true" t="shared" si="20" ref="G151:G157">D151/C151*100</f>
        <v>97.20956902659805</v>
      </c>
      <c r="H151" s="41">
        <f aca="true" t="shared" si="21" ref="H151:H157">B151-D151</f>
        <v>-157542.91000000015</v>
      </c>
      <c r="I151" s="41">
        <f aca="true" t="shared" si="22" ref="I151:I157">C151-D151</f>
        <v>53710.5</v>
      </c>
      <c r="K151" s="158"/>
      <c r="L151" s="34"/>
    </row>
    <row r="152" spans="1:12" ht="18">
      <c r="A152" s="16" t="s">
        <v>5</v>
      </c>
      <c r="B152" s="52">
        <f>B8+B20+B34+B52+B60+B91+B115+B119+B46+B140+B131+B103</f>
        <v>670354.54372</v>
      </c>
      <c r="C152" s="52">
        <f>C8+C20+C34+C52+C60+C91+C115+C119+C46+C140+C131+C103</f>
        <v>726218.6</v>
      </c>
      <c r="D152" s="52">
        <f>D8+D20+D34+D52+D60+D91+D115+D119+D46+D140+D131+D103</f>
        <v>711509.6999999998</v>
      </c>
      <c r="E152" s="6">
        <f>D152/D151*100</f>
        <v>38.026284756499074</v>
      </c>
      <c r="F152" s="6">
        <f aca="true" t="shared" si="23" ref="F152:F157">D152/B152*100</f>
        <v>106.13931190077679</v>
      </c>
      <c r="G152" s="6">
        <f t="shared" si="20"/>
        <v>97.97459057093826</v>
      </c>
      <c r="H152" s="53">
        <f t="shared" si="21"/>
        <v>-41155.15627999988</v>
      </c>
      <c r="I152" s="63">
        <f t="shared" si="22"/>
        <v>14708.90000000014</v>
      </c>
      <c r="K152" s="158"/>
      <c r="L152" s="34"/>
    </row>
    <row r="153" spans="1:12" ht="18">
      <c r="A153" s="16" t="s">
        <v>0</v>
      </c>
      <c r="B153" s="53">
        <f>B11+B23+B36+B55+B62+B92+B49+B141+B109+B112+B96+B138</f>
        <v>83895.65186000001</v>
      </c>
      <c r="C153" s="53">
        <f>C11+C23+C36+C55+C62+C92+C49+C141+C109+C112+C96+C138</f>
        <v>97796.19999999998</v>
      </c>
      <c r="D153" s="53">
        <f>D11+D23+D36+D55+D62+D92+D49+D141+D109+D112+D96+D138</f>
        <v>90042.79999999999</v>
      </c>
      <c r="E153" s="6">
        <f>D153/D151*100</f>
        <v>4.812293006086207</v>
      </c>
      <c r="F153" s="6">
        <f t="shared" si="23"/>
        <v>107.32713555913239</v>
      </c>
      <c r="G153" s="6">
        <f t="shared" si="20"/>
        <v>92.07188009350057</v>
      </c>
      <c r="H153" s="53">
        <f t="shared" si="21"/>
        <v>-6147.148139999976</v>
      </c>
      <c r="I153" s="63">
        <f t="shared" si="22"/>
        <v>7753.399999999994</v>
      </c>
      <c r="K153" s="158"/>
      <c r="L153" s="70"/>
    </row>
    <row r="154" spans="1:12" ht="18">
      <c r="A154" s="16" t="s">
        <v>1</v>
      </c>
      <c r="B154" s="52">
        <f>B22+B10+B54+B48+B61+B35+B123</f>
        <v>32031.451999999997</v>
      </c>
      <c r="C154" s="52">
        <f>C22+C10+C54+C48+C61+C35+C123</f>
        <v>35617.3</v>
      </c>
      <c r="D154" s="52">
        <f>D22+D10+D54+D48+D61+D35+D123</f>
        <v>34947.19999999999</v>
      </c>
      <c r="E154" s="6">
        <f>D154/D151*100</f>
        <v>1.86773585608506</v>
      </c>
      <c r="F154" s="6">
        <f t="shared" si="23"/>
        <v>109.10276561924196</v>
      </c>
      <c r="G154" s="6">
        <f t="shared" si="20"/>
        <v>98.11861089975935</v>
      </c>
      <c r="H154" s="53">
        <f t="shared" si="21"/>
        <v>-2915.7479999999923</v>
      </c>
      <c r="I154" s="63">
        <f t="shared" si="22"/>
        <v>670.1000000000131</v>
      </c>
      <c r="K154" s="158"/>
      <c r="L154" s="34"/>
    </row>
    <row r="155" spans="1:12" ht="21" customHeight="1">
      <c r="A155" s="16" t="s">
        <v>14</v>
      </c>
      <c r="B155" s="52">
        <f>B12+B24+B104+B63+B38+B93+B129+B56+B136</f>
        <v>21643.503999999997</v>
      </c>
      <c r="C155" s="52">
        <f>C12+C24+C104+C63+C38+C93+C129+C56+C136</f>
        <v>23518.500000000004</v>
      </c>
      <c r="D155" s="52">
        <f>D12+D24+D104+D63+D38+D93+D129+D56+D136</f>
        <v>21118.799999999992</v>
      </c>
      <c r="E155" s="6">
        <f>D155/D151*100</f>
        <v>1.1286838429828188</v>
      </c>
      <c r="F155" s="6">
        <f t="shared" si="23"/>
        <v>97.5756975395481</v>
      </c>
      <c r="G155" s="6">
        <f t="shared" si="20"/>
        <v>89.79654314688432</v>
      </c>
      <c r="H155" s="53">
        <f>B155-D155</f>
        <v>524.7040000000052</v>
      </c>
      <c r="I155" s="63">
        <f t="shared" si="22"/>
        <v>2399.7000000000116</v>
      </c>
      <c r="K155" s="158"/>
      <c r="L155" s="70"/>
    </row>
    <row r="156" spans="1:12" ht="18">
      <c r="A156" s="16" t="s">
        <v>2</v>
      </c>
      <c r="B156" s="52">
        <f>B9+B21+B47+B53+B122</f>
        <v>101.42999999999999</v>
      </c>
      <c r="C156" s="52">
        <f>C9+C21+C47+C53+C122</f>
        <v>105.7</v>
      </c>
      <c r="D156" s="52">
        <f>D9+D21+D47+D53+D122</f>
        <v>99.30000000000001</v>
      </c>
      <c r="E156" s="6">
        <f>D156/D151*100</f>
        <v>0.005307039491268157</v>
      </c>
      <c r="F156" s="6">
        <f t="shared" si="23"/>
        <v>97.90002957704823</v>
      </c>
      <c r="G156" s="6">
        <f t="shared" si="20"/>
        <v>93.94512771996216</v>
      </c>
      <c r="H156" s="53">
        <f t="shared" si="21"/>
        <v>2.1299999999999812</v>
      </c>
      <c r="I156" s="63">
        <f t="shared" si="22"/>
        <v>6.3999999999999915</v>
      </c>
      <c r="K156" s="158"/>
      <c r="L156" s="34"/>
    </row>
    <row r="157" spans="1:12" ht="18.75" thickBot="1">
      <c r="A157" s="89" t="s">
        <v>28</v>
      </c>
      <c r="B157" s="65">
        <f>B151-B152-B153-B154-B155-B156</f>
        <v>905530.2084199998</v>
      </c>
      <c r="C157" s="65">
        <f>C151-C152-C153-C154-C155-C156</f>
        <v>1041553.9000000001</v>
      </c>
      <c r="D157" s="65">
        <f>D151-D152-D153-D154-D155-D156</f>
        <v>1013381.8999999999</v>
      </c>
      <c r="E157" s="31">
        <f>D157/D151*100</f>
        <v>54.15969549885556</v>
      </c>
      <c r="F157" s="31">
        <f t="shared" si="23"/>
        <v>111.9103361298331</v>
      </c>
      <c r="G157" s="31">
        <f t="shared" si="20"/>
        <v>97.29519518865033</v>
      </c>
      <c r="H157" s="90">
        <f t="shared" si="21"/>
        <v>-107851.6915800001</v>
      </c>
      <c r="I157" s="90">
        <f t="shared" si="22"/>
        <v>28172.000000000233</v>
      </c>
      <c r="K157" s="158"/>
      <c r="L157" s="70"/>
    </row>
    <row r="158" spans="7:8" ht="12.75">
      <c r="G158" s="18"/>
      <c r="H158" s="18"/>
    </row>
    <row r="159" spans="7:11" ht="12.75">
      <c r="G159" s="18"/>
      <c r="H159" s="18"/>
      <c r="I159" s="18"/>
      <c r="K159" s="96"/>
    </row>
    <row r="160" spans="7:11" ht="12.75">
      <c r="G160" s="18"/>
      <c r="H160" s="18"/>
      <c r="K160" s="96"/>
    </row>
    <row r="161" spans="7:11" ht="12.75">
      <c r="G161" s="18"/>
      <c r="H161" s="18"/>
      <c r="K161" s="96"/>
    </row>
    <row r="162" spans="4:8" ht="12.75">
      <c r="D162" s="158"/>
      <c r="G162" s="18"/>
      <c r="H162" s="18"/>
    </row>
    <row r="163" spans="7:8" ht="12.75">
      <c r="G163" s="18"/>
      <c r="H163" s="18"/>
    </row>
    <row r="164" spans="2:8" ht="12.75">
      <c r="B164" s="93"/>
      <c r="C164" s="93"/>
      <c r="D164" s="93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1924810.2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1871099.7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1924810.2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1871099.7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2017-12-26T19:06:28Z</cp:lastPrinted>
  <dcterms:created xsi:type="dcterms:W3CDTF">2000-06-20T04:48:00Z</dcterms:created>
  <dcterms:modified xsi:type="dcterms:W3CDTF">2017-12-27T14:41:26Z</dcterms:modified>
  <cp:category/>
  <cp:version/>
  <cp:contentType/>
  <cp:contentStatus/>
</cp:coreProperties>
</file>